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I:\Staff\NPCC\Oregon Consensus\Staff folders\Harkema\Peter\Willamette Falls Locks\Meetings\5.9.16 Meeting\"/>
    </mc:Choice>
  </mc:AlternateContent>
  <bookViews>
    <workbookView xWindow="0" yWindow="0" windowWidth="19200" windowHeight="11595" tabRatio="500"/>
  </bookViews>
  <sheets>
    <sheet name="Controls" sheetId="1" r:id="rId1"/>
    <sheet name="Form Options" sheetId="4" r:id="rId2"/>
    <sheet name="Tables" sheetId="2" r:id="rId3"/>
    <sheet name="Info" sheetId="3" state="hidden" r:id="rId4"/>
    <sheet name="OES" sheetId="5" state="hidden" r:id="rId5"/>
    <sheet name="PPI" sheetId="6" state="hidden" r:id="rId6"/>
  </sheet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30" i="2" l="1"/>
  <c r="J25" i="1" s="1"/>
  <c r="R30" i="2"/>
  <c r="G17" i="1" s="1"/>
  <c r="F35" i="1"/>
  <c r="I16" i="1"/>
  <c r="F5" i="4"/>
  <c r="F6" i="4" s="1"/>
  <c r="E5" i="4"/>
  <c r="E6" i="4" s="1"/>
  <c r="E7" i="4" s="1"/>
  <c r="S30" i="2"/>
  <c r="G18" i="1" s="1"/>
  <c r="D5" i="4"/>
  <c r="D6" i="4" s="1"/>
  <c r="D7" i="4" s="1"/>
  <c r="D8" i="4" s="1"/>
  <c r="D9" i="4"/>
  <c r="D10" i="4" s="1"/>
  <c r="D11" i="4" s="1"/>
  <c r="D12" i="4" s="1"/>
  <c r="D13" i="4" s="1"/>
  <c r="D14" i="4" s="1"/>
  <c r="I35" i="1"/>
  <c r="M41" i="2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4" i="6"/>
  <c r="B7" i="1"/>
  <c r="B16" i="1"/>
  <c r="B37" i="2"/>
  <c r="B39" i="2"/>
  <c r="F21" i="1"/>
  <c r="D7" i="1"/>
  <c r="B2" i="1"/>
  <c r="F7" i="1"/>
  <c r="F16" i="2"/>
  <c r="E6" i="2" s="1"/>
  <c r="E24" i="2" s="1"/>
  <c r="F24" i="2" s="1"/>
  <c r="F17" i="2"/>
  <c r="G17" i="2" s="1"/>
  <c r="F18" i="2"/>
  <c r="F21" i="2"/>
  <c r="F22" i="2"/>
  <c r="G22" i="2" s="1"/>
  <c r="F23" i="2"/>
  <c r="G23" i="2" s="1"/>
  <c r="G21" i="2"/>
  <c r="G20" i="2"/>
  <c r="G19" i="2"/>
  <c r="G18" i="2"/>
  <c r="G16" i="2"/>
  <c r="D54" i="2"/>
  <c r="E54" i="2"/>
  <c r="F54" i="2"/>
  <c r="G54" i="2"/>
  <c r="H54" i="2"/>
  <c r="C54" i="2"/>
  <c r="D44" i="2"/>
  <c r="E44" i="2" s="1"/>
  <c r="F44" i="2" s="1"/>
  <c r="G44" i="2" s="1"/>
  <c r="H44" i="2" s="1"/>
  <c r="E37" i="2"/>
  <c r="Q37" i="2"/>
  <c r="U2" i="2"/>
  <c r="U4" i="2" s="1"/>
  <c r="T2" i="2"/>
  <c r="T4" i="2" s="1"/>
  <c r="N37" i="2"/>
  <c r="G13" i="2"/>
  <c r="G14" i="2"/>
  <c r="E39" i="2"/>
  <c r="F39" i="2" s="1"/>
  <c r="B38" i="2"/>
  <c r="M30" i="2" s="1"/>
  <c r="D36" i="2"/>
  <c r="C36" i="2"/>
  <c r="B5" i="4"/>
  <c r="B6" i="4" s="1"/>
  <c r="B7" i="4" s="1"/>
  <c r="B8" i="4" s="1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E38" i="2"/>
  <c r="F38" i="2"/>
  <c r="F36" i="2" s="1"/>
  <c r="F37" i="2"/>
  <c r="D8" i="5"/>
  <c r="D9" i="5"/>
  <c r="D10" i="5"/>
  <c r="D7" i="5"/>
  <c r="D2" i="5"/>
  <c r="B11" i="2"/>
  <c r="B12" i="2"/>
  <c r="B13" i="2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Q24" i="2"/>
  <c r="Q23" i="2"/>
  <c r="Q22" i="2"/>
  <c r="E8" i="5" l="1"/>
  <c r="C7" i="5"/>
  <c r="B2" i="2" s="1"/>
  <c r="L30" i="2" s="1"/>
  <c r="E9" i="5"/>
  <c r="C8" i="5"/>
  <c r="E28" i="2"/>
  <c r="F28" i="2" s="1"/>
  <c r="E10" i="5"/>
  <c r="G30" i="2"/>
  <c r="E36" i="2"/>
  <c r="E26" i="2"/>
  <c r="F26" i="2" s="1"/>
  <c r="O30" i="2"/>
  <c r="J26" i="1" s="1"/>
  <c r="E8" i="4"/>
  <c r="E9" i="4" s="1"/>
  <c r="M40" i="2"/>
  <c r="N30" i="2"/>
  <c r="M42" i="2"/>
  <c r="C10" i="5"/>
  <c r="E7" i="5"/>
  <c r="B3" i="2" s="1"/>
  <c r="A6" i="2"/>
  <c r="U8" i="2"/>
  <c r="F30" i="1" s="1"/>
  <c r="F7" i="4"/>
  <c r="F8" i="4" s="1"/>
  <c r="F9" i="4" s="1"/>
  <c r="F10" i="4" s="1"/>
  <c r="E25" i="2"/>
  <c r="F25" i="2" s="1"/>
  <c r="E27" i="2"/>
  <c r="F27" i="2" s="1"/>
  <c r="F6" i="2"/>
  <c r="C9" i="5"/>
  <c r="J24" i="1" l="1"/>
  <c r="U30" i="2"/>
  <c r="T30" i="2"/>
  <c r="V30" i="2"/>
  <c r="H30" i="2"/>
  <c r="E30" i="2"/>
  <c r="F30" i="2" s="1"/>
  <c r="W30" i="2" l="1"/>
  <c r="J42" i="1" s="1"/>
  <c r="J38" i="1"/>
  <c r="X30" i="2"/>
  <c r="J43" i="1" s="1"/>
  <c r="J39" i="1"/>
  <c r="J27" i="1"/>
  <c r="J30" i="1"/>
  <c r="J31" i="1" l="1"/>
  <c r="J32" i="1" s="1"/>
  <c r="J18" i="1" s="1"/>
  <c r="J17" i="1"/>
  <c r="J28" i="1"/>
</calcChain>
</file>

<file path=xl/comments1.xml><?xml version="1.0" encoding="utf-8"?>
<comments xmlns="http://schemas.openxmlformats.org/spreadsheetml/2006/main">
  <authors>
    <author>Carsten Jensen</author>
  </authors>
  <commentList>
    <comment ref="T2" authorId="0" shapeId="0">
      <text>
        <r>
          <rPr>
            <b/>
            <sz val="9"/>
            <color indexed="81"/>
            <rFont val="Arial"/>
            <family val="2"/>
            <charset val="136"/>
          </rPr>
          <t>Carsten Jensen:</t>
        </r>
        <r>
          <rPr>
            <sz val="9"/>
            <color indexed="81"/>
            <rFont val="Arial"/>
            <family val="2"/>
            <charset val="136"/>
          </rPr>
          <t xml:space="preserve">
https://multco.us/file/8183/download</t>
        </r>
      </text>
    </comment>
    <comment ref="N9" authorId="0" shapeId="0">
      <text>
        <r>
          <rPr>
            <b/>
            <sz val="9"/>
            <color indexed="81"/>
            <rFont val="Arial"/>
            <family val="2"/>
            <charset val="136"/>
          </rPr>
          <t>Carsten Jensen:</t>
        </r>
        <r>
          <rPr>
            <sz val="9"/>
            <color indexed="81"/>
            <rFont val="Arial"/>
            <family val="2"/>
            <charset val="136"/>
          </rPr>
          <t xml:space="preserve">
 CEDER p17
</t>
        </r>
      </text>
    </comment>
  </commentList>
</comments>
</file>

<file path=xl/comments2.xml><?xml version="1.0" encoding="utf-8"?>
<comments xmlns="http://schemas.openxmlformats.org/spreadsheetml/2006/main">
  <authors>
    <author>Carsten Jensen</author>
  </authors>
  <commentList>
    <comment ref="D1" authorId="0" shapeId="0">
      <text>
        <r>
          <rPr>
            <b/>
            <sz val="9"/>
            <color indexed="81"/>
            <rFont val="Arial"/>
            <family val="2"/>
            <charset val="136"/>
          </rPr>
          <t>Carsten Jensen:</t>
        </r>
        <r>
          <rPr>
            <sz val="9"/>
            <color indexed="81"/>
            <rFont val="Arial"/>
            <family val="2"/>
            <charset val="136"/>
          </rPr>
          <t xml:space="preserve">
http://www.bls.gov/ncs/ect/home.htm</t>
        </r>
      </text>
    </comment>
    <comment ref="A4" authorId="0" shapeId="0">
      <text>
        <r>
          <rPr>
            <b/>
            <sz val="9"/>
            <color indexed="81"/>
            <rFont val="Arial"/>
            <family val="2"/>
            <charset val="136"/>
          </rPr>
          <t>Carsten Jensen:</t>
        </r>
        <r>
          <rPr>
            <sz val="9"/>
            <color indexed="81"/>
            <rFont val="Arial"/>
            <family val="2"/>
            <charset val="136"/>
          </rPr>
          <t xml:space="preserve">
http://www.bls.gov/oes/current/oes536011.htm</t>
        </r>
      </text>
    </comment>
  </commentList>
</comments>
</file>

<file path=xl/sharedStrings.xml><?xml version="1.0" encoding="utf-8"?>
<sst xmlns="http://schemas.openxmlformats.org/spreadsheetml/2006/main" count="142" uniqueCount="123">
  <si>
    <t>This spreadsheet created July 21, 2014 for ECONorthwest project 21318 W. Falls Locks</t>
  </si>
  <si>
    <t>The purpose is to construct a pro-forma model for operating a series of locks</t>
  </si>
  <si>
    <t>Year</t>
  </si>
  <si>
    <t>O &amp; M</t>
  </si>
  <si>
    <t># FT</t>
  </si>
  <si>
    <t># PT</t>
  </si>
  <si>
    <t>Operations Employees</t>
  </si>
  <si>
    <t>Annual fully loaded cost per FT</t>
  </si>
  <si>
    <t>Annual fully loaded cost per PT</t>
  </si>
  <si>
    <t>Salaries</t>
  </si>
  <si>
    <t>Supplies</t>
  </si>
  <si>
    <t>Total Funding</t>
  </si>
  <si>
    <t xml:space="preserve"> </t>
  </si>
  <si>
    <t># Passengers</t>
  </si>
  <si>
    <t>User Fees</t>
  </si>
  <si>
    <t>User Fees Per Vessel</t>
  </si>
  <si>
    <t>Scenario Names</t>
  </si>
  <si>
    <t>Annual Values</t>
  </si>
  <si>
    <t xml:space="preserve">12 month operation </t>
  </si>
  <si>
    <t xml:space="preserve">12 month operation; flood supplemental $$ </t>
  </si>
  <si>
    <t xml:space="preserve">Reduced staff; 12 month operation </t>
  </si>
  <si>
    <t xml:space="preserve">6 month operation </t>
  </si>
  <si>
    <t xml:space="preserve">6 month operation; lock repairs </t>
  </si>
  <si>
    <t xml:space="preserve">1 month limited service; 5 months full service </t>
  </si>
  <si>
    <t xml:space="preserve">Partial service during summer months </t>
  </si>
  <si>
    <t>Total</t>
  </si>
  <si>
    <t>High Scenario Factor</t>
  </si>
  <si>
    <t># Vessels (2)</t>
  </si>
  <si>
    <t>Option</t>
  </si>
  <si>
    <t>Selected Scenario</t>
  </si>
  <si>
    <t>Metro</t>
  </si>
  <si>
    <t>National</t>
  </si>
  <si>
    <t>Bridge and Lock Tenders (SOC code 536011), May 2013</t>
  </si>
  <si>
    <t>Annual Wage (2080 hours)</t>
  </si>
  <si>
    <t>California</t>
  </si>
  <si>
    <t>Illinois (High)</t>
  </si>
  <si>
    <t>Virginia (Low)</t>
  </si>
  <si>
    <t>Ratio of All Civilian Total compensation for Transportation and material moving occupations( Cost per hour worked, All Workers 2014 Q1) to wages &amp; salaries</t>
  </si>
  <si>
    <t>Fully Loaded Amount (2013)</t>
  </si>
  <si>
    <t>http://stats.bls.gov/opub/mlr/cwc/part-time-workers-earnings-some-comparisons.pdf</t>
  </si>
  <si>
    <t>Full-time</t>
  </si>
  <si>
    <t>Part-Time</t>
  </si>
  <si>
    <t>hours</t>
  </si>
  <si>
    <t>Taxing Jurisdiction</t>
  </si>
  <si>
    <t>Clackamas County</t>
  </si>
  <si>
    <t>high</t>
  </si>
  <si>
    <t>low</t>
  </si>
  <si>
    <t>close</t>
  </si>
  <si>
    <t>Use Scenario</t>
  </si>
  <si>
    <t>Annual Lockages</t>
  </si>
  <si>
    <t>Variance</t>
  </si>
  <si>
    <t>1. 3 Months</t>
  </si>
  <si>
    <t>2. 6 Months</t>
  </si>
  <si>
    <t>3. 12 Months</t>
  </si>
  <si>
    <t>Annual operations, maintenance &amp; deferred maintenance (CEDER p26 / p90 / BST 2005 report)</t>
  </si>
  <si>
    <t>2004 dollars</t>
  </si>
  <si>
    <t>Total Vessels</t>
  </si>
  <si>
    <t>Total Lockages</t>
  </si>
  <si>
    <t>Commercial Vessels</t>
  </si>
  <si>
    <t>Recreational Vessels</t>
  </si>
  <si>
    <t>2014 dollars</t>
  </si>
  <si>
    <t>US PPI (ECONW Forecast)</t>
  </si>
  <si>
    <t>Rounding</t>
  </si>
  <si>
    <t>Deferred maintenance only (CEDER p26 / p90 / BST 2005 report)</t>
  </si>
  <si>
    <t xml:space="preserve"> Total Taxable Value</t>
  </si>
  <si>
    <t>Clackamas</t>
  </si>
  <si>
    <t>Total, Selected Scenario</t>
  </si>
  <si>
    <t>Total Tax Levied</t>
  </si>
  <si>
    <t>% traffic commercial</t>
  </si>
  <si>
    <t>% traffic recreational</t>
  </si>
  <si>
    <t>Outside data cell (referenced using comments)</t>
  </si>
  <si>
    <t>Calculated cell</t>
  </si>
  <si>
    <t>Input cell (e.g. assumption)</t>
  </si>
  <si>
    <t>COLOR CODING SCHEME:</t>
  </si>
  <si>
    <t>Notes</t>
  </si>
  <si>
    <t>Annual cost of supplies</t>
  </si>
  <si>
    <t>User Fees (HIGH)</t>
  </si>
  <si>
    <t>User Fees (LOW)</t>
  </si>
  <si>
    <t>Other</t>
  </si>
  <si>
    <t>Commodities Transported Through the Willamette Locks (short tons)</t>
  </si>
  <si>
    <t>Paper &amp; allied products</t>
  </si>
  <si>
    <t>Pulp, waste products</t>
  </si>
  <si>
    <t>Building cement &amp; concrete, lime, glass</t>
  </si>
  <si>
    <t>Forest products, lumber, logs, woodchips</t>
  </si>
  <si>
    <t>Sand, gravel, stone &amp; crushed rock</t>
  </si>
  <si>
    <t>Other commodity not listed elsewhere</t>
  </si>
  <si>
    <t>Primary iron &amp; steel products</t>
  </si>
  <si>
    <t>Industrial chemicals</t>
  </si>
  <si>
    <t>HSS Inspection</t>
  </si>
  <si>
    <t>Hooley Handout Mar 2008</t>
  </si>
  <si>
    <t>Deferred Maintenance</t>
  </si>
  <si>
    <t>Amount</t>
  </si>
  <si>
    <t>Deferred Maintenance Amount</t>
  </si>
  <si>
    <t>Transportation District</t>
  </si>
  <si>
    <t>Set-Asides For Future Capital Improvements</t>
  </si>
  <si>
    <t>Total Gross Costs (Low)</t>
  </si>
  <si>
    <t>Total Gross Costs (High)</t>
  </si>
  <si>
    <t>Total Net Costs (Low)</t>
  </si>
  <si>
    <t>Total Net Costs (High)</t>
  </si>
  <si>
    <t>Total Gross Costs</t>
  </si>
  <si>
    <t>O&amp;M 3 month-BST</t>
  </si>
  <si>
    <t>O&amp;M 6 month-BST</t>
  </si>
  <si>
    <t>O&amp;M 12 month-BST</t>
  </si>
  <si>
    <t>Operations &amp; Maintenance</t>
  </si>
  <si>
    <t>Total (Low Estimate)</t>
  </si>
  <si>
    <t>Total (High Estimate)</t>
  </si>
  <si>
    <t>Net Tax Increase</t>
  </si>
  <si>
    <t>Scenario Choice: Operating Period</t>
  </si>
  <si>
    <t>Less User Fees</t>
  </si>
  <si>
    <t>All values are displayed in inflation-adjusted 2014 dollars.</t>
  </si>
  <si>
    <t xml:space="preserve">  Operations &amp; Maintenance</t>
  </si>
  <si>
    <t xml:space="preserve">  Set-Asides For Future Capital Improvements</t>
  </si>
  <si>
    <t xml:space="preserve">  Low Estimate</t>
  </si>
  <si>
    <t xml:space="preserve">  High Estimate</t>
  </si>
  <si>
    <t>Select a scenario and adjust the model parameters using the fields below. The worksheet will automatically update the results.</t>
  </si>
  <si>
    <t>From User Fees</t>
  </si>
  <si>
    <t>Set-Aside Amount</t>
  </si>
  <si>
    <t>Contingency Percent</t>
  </si>
  <si>
    <t>Tax per $1,000 Assessed Value</t>
  </si>
  <si>
    <t>Set-Asides</t>
  </si>
  <si>
    <t>Contingency</t>
  </si>
  <si>
    <t>Operating Costs</t>
  </si>
  <si>
    <t xml:space="preserve">  Deferred Maintenance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</si>
</sst>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0\¢_);[Red]\(&quot;$&quot;#,##0.00\¢\)"/>
    <numFmt numFmtId="167" formatCode="&quot;$&quot;#,##0.00"/>
    <numFmt numFmtId="168" formatCode="0.00%\ "/>
  </numFmts>
  <fonts count="13">
    <font>
      <sz val="10"/>
      <color theme="1"/>
      <name val="Arial"/>
      <family val="2"/>
      <charset val="136"/>
    </font>
    <font>
      <sz val="10"/>
      <color theme="1"/>
      <name val="Arial"/>
      <family val="2"/>
      <charset val="136"/>
    </font>
    <font>
      <sz val="10"/>
      <color theme="1"/>
      <name val="Arial"/>
      <family val="2"/>
      <charset val="136"/>
    </font>
    <font>
      <u/>
      <sz val="10"/>
      <color theme="10"/>
      <name val="Arial"/>
      <family val="2"/>
      <charset val="136"/>
    </font>
    <font>
      <u/>
      <sz val="10"/>
      <color theme="11"/>
      <name val="Arial"/>
      <family val="2"/>
      <charset val="136"/>
    </font>
    <font>
      <b/>
      <sz val="10"/>
      <color rgb="FFFF0000"/>
      <name val="Arial"/>
    </font>
    <font>
      <b/>
      <sz val="10"/>
      <color theme="0"/>
      <name val="Arial"/>
      <family val="2"/>
      <charset val="136"/>
    </font>
    <font>
      <b/>
      <sz val="10"/>
      <color theme="1"/>
      <name val="Arial"/>
      <family val="2"/>
      <charset val="136"/>
    </font>
    <font>
      <sz val="10"/>
      <color theme="0"/>
      <name val="Arial"/>
      <family val="2"/>
      <charset val="136"/>
    </font>
    <font>
      <sz val="9"/>
      <color indexed="81"/>
      <name val="Arial"/>
      <family val="2"/>
      <charset val="136"/>
    </font>
    <font>
      <b/>
      <sz val="9"/>
      <color indexed="81"/>
      <name val="Arial"/>
      <family val="2"/>
      <charset val="136"/>
    </font>
    <font>
      <sz val="10"/>
      <color rgb="FF000000"/>
      <name val="Arial"/>
      <family val="2"/>
      <charset val="136"/>
    </font>
    <font>
      <sz val="10"/>
      <name val="Arial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8CCE4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rgb="FF000000"/>
      </patternFill>
    </fill>
  </fills>
  <borders count="2">
    <border>
      <left/>
      <right/>
      <top/>
      <bottom/>
      <diagonal/>
    </border>
    <border>
      <left/>
      <right/>
      <top/>
      <bottom style="double">
        <color auto="1"/>
      </bottom>
      <diagonal/>
    </border>
  </borders>
  <cellStyleXfs count="329">
    <xf numFmtId="0" fontId="0" fillId="0" borderId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71">
    <xf numFmtId="0" fontId="0" fillId="0" borderId="0" xfId="0"/>
    <xf numFmtId="0" fontId="0" fillId="0" borderId="0" xfId="0" applyFont="1"/>
    <xf numFmtId="0" fontId="0" fillId="3" borderId="0" xfId="0" applyFill="1"/>
    <xf numFmtId="164" fontId="0" fillId="0" borderId="0" xfId="1" applyNumberFormat="1" applyFont="1"/>
    <xf numFmtId="164" fontId="0" fillId="3" borderId="0" xfId="1" applyNumberFormat="1" applyFont="1" applyFill="1"/>
    <xf numFmtId="164" fontId="0" fillId="0" borderId="0" xfId="0" applyNumberFormat="1"/>
    <xf numFmtId="0" fontId="0" fillId="0" borderId="0" xfId="0" applyAlignment="1">
      <alignment wrapText="1"/>
    </xf>
    <xf numFmtId="3" fontId="0" fillId="0" borderId="0" xfId="0" applyNumberFormat="1"/>
    <xf numFmtId="0" fontId="0" fillId="4" borderId="0" xfId="0" applyFill="1"/>
    <xf numFmtId="0" fontId="0" fillId="0" borderId="0" xfId="0" applyFont="1" applyAlignment="1">
      <alignment wrapText="1"/>
    </xf>
    <xf numFmtId="164" fontId="0" fillId="0" borderId="0" xfId="1" applyNumberFormat="1" applyFont="1" applyFill="1"/>
    <xf numFmtId="0" fontId="0" fillId="5" borderId="0" xfId="0" applyFont="1" applyFill="1"/>
    <xf numFmtId="0" fontId="5" fillId="0" borderId="0" xfId="0" applyFont="1"/>
    <xf numFmtId="0" fontId="0" fillId="0" borderId="0" xfId="0" applyFill="1"/>
    <xf numFmtId="38" fontId="0" fillId="0" borderId="0" xfId="1" applyNumberFormat="1" applyFont="1" applyFill="1"/>
    <xf numFmtId="38" fontId="0" fillId="0" borderId="0" xfId="0" applyNumberFormat="1" applyFont="1" applyFill="1"/>
    <xf numFmtId="38" fontId="0" fillId="3" borderId="0" xfId="1" applyNumberFormat="1" applyFont="1" applyFill="1"/>
    <xf numFmtId="167" fontId="0" fillId="0" borderId="0" xfId="0" applyNumberFormat="1"/>
    <xf numFmtId="0" fontId="0" fillId="0" borderId="0" xfId="0" applyFont="1" applyFill="1"/>
    <xf numFmtId="9" fontId="0" fillId="3" borderId="0" xfId="46" applyFont="1" applyFill="1"/>
    <xf numFmtId="165" fontId="0" fillId="0" borderId="0" xfId="1" applyNumberFormat="1" applyFont="1" applyFill="1"/>
    <xf numFmtId="14" fontId="0" fillId="0" borderId="0" xfId="0" applyNumberFormat="1"/>
    <xf numFmtId="38" fontId="0" fillId="6" borderId="0" xfId="0" applyNumberFormat="1" applyFont="1" applyFill="1"/>
    <xf numFmtId="164" fontId="1" fillId="0" borderId="0" xfId="1" applyNumberFormat="1" applyFont="1"/>
    <xf numFmtId="164" fontId="1" fillId="0" borderId="0" xfId="1" applyNumberFormat="1" applyFont="1" applyAlignment="1">
      <alignment wrapText="1"/>
    </xf>
    <xf numFmtId="164" fontId="1" fillId="5" borderId="0" xfId="1" applyNumberFormat="1" applyFont="1" applyFill="1"/>
    <xf numFmtId="8" fontId="0" fillId="0" borderId="0" xfId="0" applyNumberFormat="1"/>
    <xf numFmtId="6" fontId="0" fillId="0" borderId="0" xfId="0" applyNumberFormat="1"/>
    <xf numFmtId="164" fontId="0" fillId="0" borderId="0" xfId="0" applyNumberFormat="1" applyFont="1"/>
    <xf numFmtId="10" fontId="0" fillId="0" borderId="0" xfId="46" applyNumberFormat="1" applyFont="1"/>
    <xf numFmtId="9" fontId="0" fillId="6" borderId="0" xfId="46" applyFont="1" applyFill="1"/>
    <xf numFmtId="6" fontId="0" fillId="3" borderId="0" xfId="0" applyNumberFormat="1" applyFill="1"/>
    <xf numFmtId="6" fontId="12" fillId="6" borderId="0" xfId="0" applyNumberFormat="1" applyFont="1" applyFill="1"/>
    <xf numFmtId="38" fontId="0" fillId="0" borderId="0" xfId="0" applyNumberFormat="1" applyFill="1"/>
    <xf numFmtId="38" fontId="0" fillId="5" borderId="0" xfId="0" applyNumberFormat="1" applyFont="1" applyFill="1"/>
    <xf numFmtId="0" fontId="0" fillId="2" borderId="0" xfId="0" applyFont="1" applyFill="1"/>
    <xf numFmtId="0" fontId="7" fillId="7" borderId="0" xfId="0" applyFont="1" applyFill="1"/>
    <xf numFmtId="0" fontId="6" fillId="8" borderId="0" xfId="0" applyFont="1" applyFill="1"/>
    <xf numFmtId="0" fontId="8" fillId="8" borderId="0" xfId="0" applyFont="1" applyFill="1"/>
    <xf numFmtId="0" fontId="6" fillId="10" borderId="0" xfId="0" applyFont="1" applyFill="1"/>
    <xf numFmtId="0" fontId="0" fillId="7" borderId="0" xfId="0" applyFont="1" applyFill="1"/>
    <xf numFmtId="6" fontId="0" fillId="7" borderId="0" xfId="0" applyNumberFormat="1" applyFont="1" applyFill="1"/>
    <xf numFmtId="0" fontId="0" fillId="7" borderId="0" xfId="0" applyFont="1" applyFill="1" applyAlignment="1">
      <alignment horizontal="right"/>
    </xf>
    <xf numFmtId="6" fontId="0" fillId="7" borderId="0" xfId="0" applyNumberFormat="1" applyFont="1" applyFill="1" applyAlignment="1">
      <alignment horizontal="right"/>
    </xf>
    <xf numFmtId="0" fontId="7" fillId="7" borderId="0" xfId="0" applyFont="1" applyFill="1" applyBorder="1"/>
    <xf numFmtId="0" fontId="0" fillId="10" borderId="0" xfId="0" applyFont="1" applyFill="1"/>
    <xf numFmtId="0" fontId="0" fillId="9" borderId="0" xfId="0" applyFont="1" applyFill="1"/>
    <xf numFmtId="0" fontId="0" fillId="7" borderId="0" xfId="0" applyFont="1" applyFill="1" applyBorder="1" applyAlignment="1">
      <alignment horizontal="right"/>
    </xf>
    <xf numFmtId="166" fontId="0" fillId="7" borderId="0" xfId="0" applyNumberFormat="1" applyFont="1" applyFill="1" applyBorder="1"/>
    <xf numFmtId="164" fontId="1" fillId="0" borderId="0" xfId="1" applyNumberFormat="1" applyFont="1" applyFill="1"/>
    <xf numFmtId="6" fontId="0" fillId="0" borderId="0" xfId="0" applyNumberFormat="1" applyFont="1"/>
    <xf numFmtId="0" fontId="0" fillId="7" borderId="1" xfId="0" applyFont="1" applyFill="1" applyBorder="1"/>
    <xf numFmtId="0" fontId="0" fillId="7" borderId="1" xfId="0" applyFont="1" applyFill="1" applyBorder="1" applyAlignment="1">
      <alignment horizontal="right"/>
    </xf>
    <xf numFmtId="0" fontId="0" fillId="7" borderId="0" xfId="0" applyFont="1" applyFill="1" applyAlignment="1">
      <alignment horizontal="left"/>
    </xf>
    <xf numFmtId="0" fontId="11" fillId="11" borderId="0" xfId="0" applyFont="1" applyFill="1" applyAlignment="1">
      <alignment horizontal="left"/>
    </xf>
    <xf numFmtId="168" fontId="0" fillId="7" borderId="0" xfId="46" applyNumberFormat="1" applyFont="1" applyFill="1"/>
    <xf numFmtId="0" fontId="0" fillId="12" borderId="0" xfId="0" applyFont="1" applyFill="1"/>
    <xf numFmtId="0" fontId="0" fillId="9" borderId="0" xfId="0" applyFont="1" applyFill="1" applyAlignment="1">
      <alignment horizontal="right"/>
    </xf>
    <xf numFmtId="0" fontId="11" fillId="13" borderId="0" xfId="0" applyFont="1" applyFill="1" applyAlignment="1">
      <alignment horizontal="left"/>
    </xf>
    <xf numFmtId="9" fontId="0" fillId="0" borderId="0" xfId="46" applyFont="1"/>
    <xf numFmtId="6" fontId="0" fillId="7" borderId="0" xfId="0" applyNumberFormat="1" applyFont="1" applyFill="1" applyBorder="1" applyAlignment="1">
      <alignment horizontal="right"/>
    </xf>
    <xf numFmtId="0" fontId="6" fillId="2" borderId="0" xfId="0" applyFont="1" applyFill="1"/>
    <xf numFmtId="0" fontId="7" fillId="2" borderId="0" xfId="0" applyFont="1" applyFill="1" applyBorder="1"/>
    <xf numFmtId="166" fontId="0" fillId="2" borderId="0" xfId="0" applyNumberFormat="1" applyFont="1" applyFill="1" applyBorder="1"/>
    <xf numFmtId="0" fontId="7" fillId="2" borderId="0" xfId="0" applyFont="1" applyFill="1"/>
    <xf numFmtId="168" fontId="0" fillId="2" borderId="0" xfId="46" applyNumberFormat="1" applyFont="1" applyFill="1"/>
    <xf numFmtId="0" fontId="11" fillId="2" borderId="0" xfId="0" applyFont="1" applyFill="1" applyAlignment="1">
      <alignment horizontal="left"/>
    </xf>
    <xf numFmtId="0" fontId="0" fillId="7" borderId="1" xfId="0" applyFont="1" applyFill="1" applyBorder="1" applyAlignment="1">
      <alignment horizontal="left"/>
    </xf>
    <xf numFmtId="6" fontId="0" fillId="7" borderId="1" xfId="0" applyNumberFormat="1" applyFont="1" applyFill="1" applyBorder="1" applyAlignment="1">
      <alignment horizontal="right"/>
    </xf>
    <xf numFmtId="38" fontId="0" fillId="7" borderId="0" xfId="0" applyNumberFormat="1" applyFont="1" applyFill="1" applyBorder="1"/>
    <xf numFmtId="38" fontId="0" fillId="7" borderId="1" xfId="0" applyNumberFormat="1" applyFont="1" applyFill="1" applyBorder="1"/>
  </cellXfs>
  <cellStyles count="329">
    <cellStyle name="Comma" xfId="1" builtinId="3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8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27" builtinId="9" hidden="1"/>
    <cellStyle name="Followed Hyperlink" xfId="128" builtinId="9" hidden="1"/>
    <cellStyle name="Followed Hyperlink" xfId="129" builtinId="9" hidden="1"/>
    <cellStyle name="Followed Hyperlink" xfId="130" builtinId="9" hidden="1"/>
    <cellStyle name="Followed Hyperlink" xfId="131" builtinId="9" hidden="1"/>
    <cellStyle name="Followed Hyperlink" xfId="132" builtinId="9" hidden="1"/>
    <cellStyle name="Followed Hyperlink" xfId="133" builtinId="9" hidden="1"/>
    <cellStyle name="Followed Hyperlink" xfId="134" builtinId="9" hidden="1"/>
    <cellStyle name="Followed Hyperlink" xfId="135" builtinId="9" hidden="1"/>
    <cellStyle name="Followed Hyperlink" xfId="136" builtinId="9" hidden="1"/>
    <cellStyle name="Followed Hyperlink" xfId="137" builtinId="9" hidden="1"/>
    <cellStyle name="Followed Hyperlink" xfId="138" builtinId="9" hidden="1"/>
    <cellStyle name="Followed Hyperlink" xfId="139" builtinId="9" hidden="1"/>
    <cellStyle name="Followed Hyperlink" xfId="140" builtinId="9" hidden="1"/>
    <cellStyle name="Followed Hyperlink" xfId="141" builtinId="9" hidden="1"/>
    <cellStyle name="Followed Hyperlink" xfId="142" builtinId="9" hidden="1"/>
    <cellStyle name="Followed Hyperlink" xfId="143" builtinId="9" hidden="1"/>
    <cellStyle name="Followed Hyperlink" xfId="144" builtinId="9" hidden="1"/>
    <cellStyle name="Followed Hyperlink" xfId="145" builtinId="9" hidden="1"/>
    <cellStyle name="Followed Hyperlink" xfId="146" builtinId="9" hidden="1"/>
    <cellStyle name="Followed Hyperlink" xfId="147" builtinId="9" hidden="1"/>
    <cellStyle name="Followed Hyperlink" xfId="148" builtinId="9" hidden="1"/>
    <cellStyle name="Followed Hyperlink" xfId="149" builtinId="9" hidden="1"/>
    <cellStyle name="Followed Hyperlink" xfId="150" builtinId="9" hidden="1"/>
    <cellStyle name="Followed Hyperlink" xfId="151" builtinId="9" hidden="1"/>
    <cellStyle name="Followed Hyperlink" xfId="152" builtinId="9" hidden="1"/>
    <cellStyle name="Followed Hyperlink" xfId="153" builtinId="9" hidden="1"/>
    <cellStyle name="Followed Hyperlink" xfId="154" builtinId="9" hidden="1"/>
    <cellStyle name="Followed Hyperlink" xfId="155" builtinId="9" hidden="1"/>
    <cellStyle name="Followed Hyperlink" xfId="156" builtinId="9" hidden="1"/>
    <cellStyle name="Followed Hyperlink" xfId="157" builtinId="9" hidden="1"/>
    <cellStyle name="Followed Hyperlink" xfId="158" builtinId="9" hidden="1"/>
    <cellStyle name="Followed Hyperlink" xfId="159" builtinId="9" hidden="1"/>
    <cellStyle name="Followed Hyperlink" xfId="160" builtinId="9" hidden="1"/>
    <cellStyle name="Followed Hyperlink" xfId="161" builtinId="9" hidden="1"/>
    <cellStyle name="Followed Hyperlink" xfId="162" builtinId="9" hidden="1"/>
    <cellStyle name="Followed Hyperlink" xfId="163" builtinId="9" hidden="1"/>
    <cellStyle name="Followed Hyperlink" xfId="164" builtinId="9" hidden="1"/>
    <cellStyle name="Followed Hyperlink" xfId="165" builtinId="9" hidden="1"/>
    <cellStyle name="Followed Hyperlink" xfId="166" builtinId="9" hidden="1"/>
    <cellStyle name="Followed Hyperlink" xfId="167" builtinId="9" hidden="1"/>
    <cellStyle name="Followed Hyperlink" xfId="168" builtinId="9" hidden="1"/>
    <cellStyle name="Followed Hyperlink" xfId="169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8" builtinId="9" hidden="1"/>
    <cellStyle name="Followed Hyperlink" xfId="189" builtinId="9" hidden="1"/>
    <cellStyle name="Followed Hyperlink" xfId="190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Followed Hyperlink" xfId="199" builtinId="9" hidden="1"/>
    <cellStyle name="Followed Hyperlink" xfId="200" builtinId="9" hidden="1"/>
    <cellStyle name="Followed Hyperlink" xfId="201" builtinId="9" hidden="1"/>
    <cellStyle name="Followed Hyperlink" xfId="202" builtinId="9" hidden="1"/>
    <cellStyle name="Followed Hyperlink" xfId="203" builtinId="9" hidden="1"/>
    <cellStyle name="Followed Hyperlink" xfId="204" builtinId="9" hidden="1"/>
    <cellStyle name="Followed Hyperlink" xfId="205" builtinId="9" hidden="1"/>
    <cellStyle name="Followed Hyperlink" xfId="206" builtinId="9" hidden="1"/>
    <cellStyle name="Followed Hyperlink" xfId="207" builtinId="9" hidden="1"/>
    <cellStyle name="Followed Hyperlink" xfId="208" builtinId="9" hidden="1"/>
    <cellStyle name="Followed Hyperlink" xfId="209" builtinId="9" hidden="1"/>
    <cellStyle name="Followed Hyperlink" xfId="210" builtinId="9" hidden="1"/>
    <cellStyle name="Followed Hyperlink" xfId="211" builtinId="9" hidden="1"/>
    <cellStyle name="Followed Hyperlink" xfId="212" builtinId="9" hidden="1"/>
    <cellStyle name="Followed Hyperlink" xfId="213" builtinId="9" hidden="1"/>
    <cellStyle name="Followed Hyperlink" xfId="214" builtinId="9" hidden="1"/>
    <cellStyle name="Followed Hyperlink" xfId="215" builtinId="9" hidden="1"/>
    <cellStyle name="Followed Hyperlink" xfId="216" builtinId="9" hidden="1"/>
    <cellStyle name="Followed Hyperlink" xfId="217" builtinId="9" hidden="1"/>
    <cellStyle name="Followed Hyperlink" xfId="218" builtinId="9" hidden="1"/>
    <cellStyle name="Followed Hyperlink" xfId="219" builtinId="9" hidden="1"/>
    <cellStyle name="Followed Hyperlink" xfId="220" builtinId="9" hidden="1"/>
    <cellStyle name="Followed Hyperlink" xfId="221" builtinId="9" hidden="1"/>
    <cellStyle name="Followed Hyperlink" xfId="222" builtinId="9" hidden="1"/>
    <cellStyle name="Followed Hyperlink" xfId="223" builtinId="9" hidden="1"/>
    <cellStyle name="Followed Hyperlink" xfId="224" builtinId="9" hidden="1"/>
    <cellStyle name="Followed Hyperlink" xfId="225" builtinId="9" hidden="1"/>
    <cellStyle name="Followed Hyperlink" xfId="226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3" builtinId="9" hidden="1"/>
    <cellStyle name="Followed Hyperlink" xfId="254" builtinId="9" hidden="1"/>
    <cellStyle name="Followed Hyperlink" xfId="255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Normal" xfId="0" builtinId="0"/>
    <cellStyle name="Percent" xfId="46" builtinId="5"/>
  </cellStyles>
  <dxfs count="0"/>
  <tableStyles count="0" defaultTableStyle="TableStyleMedium9" defaultPivotStyle="PivotStyleMedium4"/>
  <colors>
    <mruColors>
      <color rgb="FF9A1827"/>
      <color rgb="FFCC802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tockChart>
        <c:ser>
          <c:idx val="0"/>
          <c:order val="0"/>
          <c:tx>
            <c:strRef>
              <c:f>Tables!$C$35</c:f>
              <c:strCache>
                <c:ptCount val="1"/>
                <c:pt idx="0">
                  <c:v>high</c:v>
                </c:pt>
              </c:strCache>
            </c:strRef>
          </c:tx>
          <c:spPr>
            <a:ln w="47625">
              <a:noFill/>
            </a:ln>
          </c:spPr>
          <c:marker>
            <c:symbol val="none"/>
          </c:marker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effectLst>
                <a:glow rad="101600">
                  <a:schemeClr val="bg1">
                    <a:alpha val="50000"/>
                  </a:schemeClr>
                </a:glow>
                <a:softEdge rad="25400"/>
              </a:effectLst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Tables!$B$36:$B$39</c:f>
              <c:strCache>
                <c:ptCount val="4"/>
                <c:pt idx="0">
                  <c:v>Selected Scenario</c:v>
                </c:pt>
                <c:pt idx="1">
                  <c:v> 3 Months</c:v>
                </c:pt>
                <c:pt idx="2">
                  <c:v> 6 Months</c:v>
                </c:pt>
                <c:pt idx="3">
                  <c:v> 12 Months</c:v>
                </c:pt>
              </c:strCache>
            </c:strRef>
          </c:cat>
          <c:val>
            <c:numRef>
              <c:f>Tables!$C$36:$C$39</c:f>
              <c:numCache>
                <c:formatCode>#,##0_);[Red]\(#,##0\)</c:formatCode>
                <c:ptCount val="4"/>
                <c:pt idx="0">
                  <c:v>600</c:v>
                </c:pt>
                <c:pt idx="1">
                  <c:v>600</c:v>
                </c:pt>
                <c:pt idx="2">
                  <c:v>1500</c:v>
                </c:pt>
                <c:pt idx="3">
                  <c:v>2500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Tables!$D$35</c:f>
              <c:strCache>
                <c:ptCount val="1"/>
                <c:pt idx="0">
                  <c:v>low</c:v>
                </c:pt>
              </c:strCache>
            </c:strRef>
          </c:tx>
          <c:spPr>
            <a:ln w="47625">
              <a:noFill/>
            </a:ln>
          </c:spPr>
          <c:marker>
            <c:symbol val="none"/>
          </c:marker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effectLst>
                <a:glow rad="38100">
                  <a:schemeClr val="bg1"/>
                </a:glow>
              </a:effectLst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Tables!$B$36:$B$39</c:f>
              <c:strCache>
                <c:ptCount val="4"/>
                <c:pt idx="0">
                  <c:v>Selected Scenario</c:v>
                </c:pt>
                <c:pt idx="1">
                  <c:v> 3 Months</c:v>
                </c:pt>
                <c:pt idx="2">
                  <c:v> 6 Months</c:v>
                </c:pt>
                <c:pt idx="3">
                  <c:v> 12 Months</c:v>
                </c:pt>
              </c:strCache>
            </c:strRef>
          </c:cat>
          <c:val>
            <c:numRef>
              <c:f>Tables!$D$36:$D$39</c:f>
              <c:numCache>
                <c:formatCode>#,##0_);[Red]\(#,##0\)</c:formatCode>
                <c:ptCount val="4"/>
                <c:pt idx="0">
                  <c:v>300</c:v>
                </c:pt>
                <c:pt idx="1">
                  <c:v>300</c:v>
                </c:pt>
                <c:pt idx="2">
                  <c:v>1000</c:v>
                </c:pt>
                <c:pt idx="3">
                  <c:v>1700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Tables!$E$35</c:f>
              <c:strCache>
                <c:ptCount val="1"/>
                <c:pt idx="0">
                  <c:v>close</c:v>
                </c:pt>
              </c:strCache>
            </c:strRef>
          </c:tx>
          <c:spPr>
            <a:ln w="47625">
              <a:noFill/>
            </a:ln>
            <a:effectLst/>
          </c:spPr>
          <c:marker>
            <c:symbol val="square"/>
            <c:size val="10"/>
            <c:spPr>
              <a:solidFill>
                <a:srgbClr val="9A1827"/>
              </a:solidFill>
              <a:ln>
                <a:noFill/>
              </a:ln>
              <a:effectLst/>
            </c:spPr>
          </c:marker>
          <c:dPt>
            <c:idx val="0"/>
            <c:marker>
              <c:symbol val="square"/>
              <c:size val="15"/>
              <c:spPr>
                <a:solidFill>
                  <a:srgbClr val="CC8020"/>
                </a:solidFill>
                <a:ln>
                  <a:noFill/>
                </a:ln>
                <a:effectLst/>
              </c:spPr>
            </c:marker>
            <c:bubble3D val="0"/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Tables!$B$36:$B$39</c:f>
              <c:strCache>
                <c:ptCount val="4"/>
                <c:pt idx="0">
                  <c:v>Selected Scenario</c:v>
                </c:pt>
                <c:pt idx="1">
                  <c:v> 3 Months</c:v>
                </c:pt>
                <c:pt idx="2">
                  <c:v> 6 Months</c:v>
                </c:pt>
                <c:pt idx="3">
                  <c:v> 12 Months</c:v>
                </c:pt>
              </c:strCache>
            </c:strRef>
          </c:cat>
          <c:val>
            <c:numRef>
              <c:f>Tables!$E$36:$E$39</c:f>
              <c:numCache>
                <c:formatCode>#,##0_);[Red]\(#,##0\)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1250</c:v>
                </c:pt>
                <c:pt idx="3">
                  <c:v>2100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27000">
              <a:solidFill>
                <a:schemeClr val="bg1">
                  <a:lumMod val="65000"/>
                </a:schemeClr>
              </a:solidFill>
            </a:ln>
          </c:spPr>
        </c:hiLowLines>
        <c:axId val="259258400"/>
        <c:axId val="266687560"/>
      </c:stockChart>
      <c:catAx>
        <c:axId val="259258400"/>
        <c:scaling>
          <c:orientation val="minMax"/>
        </c:scaling>
        <c:delete val="0"/>
        <c:axPos val="b"/>
        <c:title>
          <c:tx>
            <c:strRef>
              <c:f>Tables!$B$35</c:f>
              <c:strCache>
                <c:ptCount val="1"/>
                <c:pt idx="0">
                  <c:v>Use Scenario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66687560"/>
        <c:crosses val="autoZero"/>
        <c:auto val="1"/>
        <c:lblAlgn val="ctr"/>
        <c:lblOffset val="100"/>
        <c:noMultiLvlLbl val="0"/>
      </c:catAx>
      <c:valAx>
        <c:axId val="266687560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259258400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>
          <a:latin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trlProps/ctrlProp1.xml><?xml version="1.0" encoding="utf-8"?>
<formControlPr xmlns="http://schemas.microsoft.com/office/spreadsheetml/2009/9/main" objectType="List" dx="16" fmlaLink="'Form Options'!$A$1" fmlaRange="'Form Options'!$A$4:$A$6" sel="1" val="0"/>
</file>

<file path=xl/ctrlProps/ctrlProp2.xml><?xml version="1.0" encoding="utf-8"?>
<formControlPr xmlns="http://schemas.microsoft.com/office/spreadsheetml/2009/9/main" objectType="List" dx="16" fmlaLink="'Form Options'!$D$1" fmlaRange="'Form Options'!$D$4:$D$14" sel="11" val="7"/>
</file>

<file path=xl/ctrlProps/ctrlProp3.xml><?xml version="1.0" encoding="utf-8"?>
<formControlPr xmlns="http://schemas.microsoft.com/office/spreadsheetml/2009/9/main" objectType="List" dx="16" fmlaLink="'Form Options'!$E$1" fmlaRange="'Form Options'!$E$4:$E$9" sel="4" val="0"/>
</file>

<file path=xl/ctrlProps/ctrlProp4.xml><?xml version="1.0" encoding="utf-8"?>
<formControlPr xmlns="http://schemas.microsoft.com/office/spreadsheetml/2009/9/main" objectType="List" dx="16" fmlaLink="'Form Options'!$F$1" fmlaRange="'Form Options'!F$4:F$10" sel="3" val="0"/>
</file>

<file path=xl/ctrlProps/ctrlProp5.xml><?xml version="1.0" encoding="utf-8"?>
<formControlPr xmlns="http://schemas.microsoft.com/office/spreadsheetml/2009/9/main" objectType="List" dx="16" fmlaLink="'Form Options'!$C$1" fmlaRange="'Form Options'!$C$4:$C$5" sel="2" val="0"/>
</file>

<file path=xl/ctrlProps/ctrlProp6.xml><?xml version="1.0" encoding="utf-8"?>
<formControlPr xmlns="http://schemas.microsoft.com/office/spreadsheetml/2009/9/main" objectType="List" dx="16" fmlaLink="'Form Options'!$B$1" fmlaRange="'Form Options'!$B$4:$B$19" sel="15" val="12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9</xdr:row>
          <xdr:rowOff>66675</xdr:rowOff>
        </xdr:from>
        <xdr:to>
          <xdr:col>1</xdr:col>
          <xdr:colOff>2362200</xdr:colOff>
          <xdr:row>13</xdr:row>
          <xdr:rowOff>104775</xdr:rowOff>
        </xdr:to>
        <xdr:sp macro="" textlink="">
          <xdr:nvSpPr>
            <xdr:cNvPr id="1025" name="List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9</xdr:row>
          <xdr:rowOff>66675</xdr:rowOff>
        </xdr:from>
        <xdr:to>
          <xdr:col>8</xdr:col>
          <xdr:colOff>828675</xdr:colOff>
          <xdr:row>13</xdr:row>
          <xdr:rowOff>104775</xdr:rowOff>
        </xdr:to>
        <xdr:sp macro="" textlink="">
          <xdr:nvSpPr>
            <xdr:cNvPr id="1029" name="List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9</xdr:row>
          <xdr:rowOff>66675</xdr:rowOff>
        </xdr:from>
        <xdr:to>
          <xdr:col>6</xdr:col>
          <xdr:colOff>466725</xdr:colOff>
          <xdr:row>13</xdr:row>
          <xdr:rowOff>104775</xdr:rowOff>
        </xdr:to>
        <xdr:sp macro="" textlink="">
          <xdr:nvSpPr>
            <xdr:cNvPr id="1032" name="List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88900</xdr:colOff>
      <xdr:row>17</xdr:row>
      <xdr:rowOff>38100</xdr:rowOff>
    </xdr:from>
    <xdr:to>
      <xdr:col>3</xdr:col>
      <xdr:colOff>1676400</xdr:colOff>
      <xdr:row>46</xdr:row>
      <xdr:rowOff>50800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9</xdr:row>
          <xdr:rowOff>9525</xdr:rowOff>
        </xdr:from>
        <xdr:to>
          <xdr:col>3</xdr:col>
          <xdr:colOff>904875</xdr:colOff>
          <xdr:row>13</xdr:row>
          <xdr:rowOff>47625</xdr:rowOff>
        </xdr:to>
        <xdr:sp macro="" textlink="">
          <xdr:nvSpPr>
            <xdr:cNvPr id="1033" name="List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1053605</xdr:colOff>
      <xdr:row>45</xdr:row>
      <xdr:rowOff>60203</xdr:rowOff>
    </xdr:from>
    <xdr:to>
      <xdr:col>8</xdr:col>
      <xdr:colOff>914871</xdr:colOff>
      <xdr:row>48</xdr:row>
      <xdr:rowOff>130297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84405" y="6664203"/>
          <a:ext cx="2109166" cy="52729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37</xdr:row>
          <xdr:rowOff>66675</xdr:rowOff>
        </xdr:from>
        <xdr:to>
          <xdr:col>5</xdr:col>
          <xdr:colOff>1028700</xdr:colOff>
          <xdr:row>42</xdr:row>
          <xdr:rowOff>104775</xdr:rowOff>
        </xdr:to>
        <xdr:sp macro="" textlink="">
          <xdr:nvSpPr>
            <xdr:cNvPr id="1035" name="List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37</xdr:row>
          <xdr:rowOff>76200</xdr:rowOff>
        </xdr:from>
        <xdr:to>
          <xdr:col>6</xdr:col>
          <xdr:colOff>695325</xdr:colOff>
          <xdr:row>42</xdr:row>
          <xdr:rowOff>114300</xdr:rowOff>
        </xdr:to>
        <xdr:sp macro="" textlink="">
          <xdr:nvSpPr>
            <xdr:cNvPr id="1036" name="List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12700</xdr:colOff>
      <xdr:row>0</xdr:row>
      <xdr:rowOff>139700</xdr:rowOff>
    </xdr:from>
    <xdr:to>
      <xdr:col>11</xdr:col>
      <xdr:colOff>3924300</xdr:colOff>
      <xdr:row>49</xdr:row>
      <xdr:rowOff>0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5480" t="1" r="44408" b="13789"/>
        <a:stretch/>
      </xdr:blipFill>
      <xdr:spPr>
        <a:xfrm>
          <a:off x="9613900" y="139700"/>
          <a:ext cx="3911600" cy="7391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ctrlProp" Target="../ctrlProps/ctrlProp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L50"/>
  <sheetViews>
    <sheetView tabSelected="1" workbookViewId="0">
      <selection activeCell="B2" sqref="B2"/>
    </sheetView>
  </sheetViews>
  <sheetFormatPr defaultColWidth="10.85546875" defaultRowHeight="12.75"/>
  <cols>
    <col min="1" max="1" width="2.28515625" style="56" customWidth="1"/>
    <col min="2" max="2" width="37" style="56" customWidth="1"/>
    <col min="3" max="3" width="2.28515625" style="56" customWidth="1"/>
    <col min="4" max="4" width="23.28515625" style="56" bestFit="1" customWidth="1"/>
    <col min="5" max="5" width="2.28515625" style="56" customWidth="1"/>
    <col min="6" max="6" width="15.85546875" style="56" customWidth="1"/>
    <col min="7" max="7" width="11.28515625" style="56" bestFit="1" customWidth="1"/>
    <col min="8" max="8" width="2.28515625" style="56" customWidth="1"/>
    <col min="9" max="9" width="17" style="56" customWidth="1"/>
    <col min="10" max="10" width="9.85546875" style="56" customWidth="1"/>
    <col min="11" max="11" width="2.28515625" style="56" customWidth="1"/>
    <col min="12" max="12" width="53.42578125" style="56" customWidth="1"/>
    <col min="13" max="16384" width="10.85546875" style="56"/>
  </cols>
  <sheetData>
    <row r="1" spans="1:12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</row>
    <row r="2" spans="1:12">
      <c r="A2" s="35"/>
      <c r="B2" s="39" t="str">
        <f>UPPER("Instructions")</f>
        <v>INSTRUCTIONS</v>
      </c>
      <c r="C2" s="39"/>
      <c r="D2" s="45"/>
      <c r="E2" s="45"/>
      <c r="F2" s="45"/>
      <c r="G2" s="45"/>
      <c r="H2" s="45"/>
      <c r="I2" s="45"/>
      <c r="J2" s="45"/>
      <c r="K2" s="35"/>
      <c r="L2" s="35"/>
    </row>
    <row r="3" spans="1:12">
      <c r="A3" s="35"/>
      <c r="B3" s="46" t="s">
        <v>114</v>
      </c>
      <c r="C3" s="46"/>
      <c r="D3" s="46"/>
      <c r="E3" s="46"/>
      <c r="F3" s="46"/>
      <c r="G3" s="46"/>
      <c r="H3" s="46"/>
      <c r="I3" s="46"/>
      <c r="J3" s="46"/>
      <c r="K3" s="35"/>
      <c r="L3" s="35"/>
    </row>
    <row r="4" spans="1:12">
      <c r="A4" s="35"/>
      <c r="B4" s="46"/>
      <c r="C4" s="46"/>
      <c r="D4" s="46"/>
      <c r="E4" s="46"/>
      <c r="F4" s="46"/>
      <c r="G4" s="46"/>
      <c r="H4" s="46"/>
      <c r="I4" s="46"/>
      <c r="J4" s="46"/>
      <c r="K4" s="35"/>
      <c r="L4" s="35"/>
    </row>
    <row r="5" spans="1:12">
      <c r="A5" s="35"/>
      <c r="B5" s="57"/>
      <c r="C5" s="46"/>
      <c r="D5" s="46"/>
      <c r="E5" s="46"/>
      <c r="F5" s="46"/>
      <c r="G5" s="46"/>
      <c r="H5" s="46"/>
      <c r="I5" s="46"/>
      <c r="J5" s="57" t="s">
        <v>109</v>
      </c>
      <c r="K5" s="35"/>
      <c r="L5" s="35"/>
    </row>
    <row r="6" spans="1:12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</row>
    <row r="7" spans="1:12">
      <c r="A7" s="35"/>
      <c r="B7" s="37" t="str">
        <f>UPPER("Operating Scenario")</f>
        <v>OPERATING SCENARIO</v>
      </c>
      <c r="C7" s="35"/>
      <c r="D7" s="37" t="str">
        <f>UPPER("Deferred Maintenance")</f>
        <v>DEFERRED MAINTENANCE</v>
      </c>
      <c r="E7" s="35"/>
      <c r="F7" s="37" t="str">
        <f>UPPER("Revenues")</f>
        <v>REVENUES</v>
      </c>
      <c r="G7" s="37"/>
      <c r="H7" s="37"/>
      <c r="I7" s="37"/>
      <c r="J7" s="37"/>
      <c r="K7" s="35"/>
      <c r="L7" s="35"/>
    </row>
    <row r="8" spans="1:12">
      <c r="A8" s="35"/>
      <c r="B8" s="40"/>
      <c r="C8" s="35"/>
      <c r="D8" s="40"/>
      <c r="E8" s="35"/>
      <c r="F8" s="40"/>
      <c r="G8" s="40"/>
      <c r="H8" s="40"/>
      <c r="I8" s="40"/>
      <c r="J8" s="40"/>
      <c r="K8" s="35"/>
      <c r="L8" s="35"/>
    </row>
    <row r="9" spans="1:12">
      <c r="A9" s="35"/>
      <c r="B9" s="36" t="s">
        <v>107</v>
      </c>
      <c r="C9" s="35"/>
      <c r="D9" s="36" t="s">
        <v>91</v>
      </c>
      <c r="E9" s="35"/>
      <c r="F9" s="36" t="s">
        <v>93</v>
      </c>
      <c r="G9" s="36"/>
      <c r="H9" s="36"/>
      <c r="I9" s="36" t="s">
        <v>15</v>
      </c>
      <c r="J9" s="40"/>
      <c r="K9" s="35"/>
      <c r="L9" s="35"/>
    </row>
    <row r="10" spans="1:12">
      <c r="A10" s="35"/>
      <c r="B10" s="40"/>
      <c r="C10" s="35"/>
      <c r="D10" s="40"/>
      <c r="E10" s="35"/>
      <c r="F10" s="40"/>
      <c r="G10" s="40"/>
      <c r="H10" s="40"/>
      <c r="I10" s="40"/>
      <c r="J10" s="40"/>
      <c r="K10" s="35"/>
      <c r="L10" s="35"/>
    </row>
    <row r="11" spans="1:12">
      <c r="A11" s="35"/>
      <c r="B11" s="40"/>
      <c r="C11" s="35"/>
      <c r="D11" s="40"/>
      <c r="E11" s="35"/>
      <c r="F11" s="40"/>
      <c r="G11" s="40"/>
      <c r="H11" s="40"/>
      <c r="I11" s="40"/>
      <c r="J11" s="40"/>
      <c r="K11" s="35"/>
      <c r="L11" s="35"/>
    </row>
    <row r="12" spans="1:12">
      <c r="A12" s="35"/>
      <c r="B12" s="40"/>
      <c r="C12" s="35"/>
      <c r="D12" s="40"/>
      <c r="E12" s="35"/>
      <c r="F12" s="40"/>
      <c r="G12" s="40"/>
      <c r="H12" s="40"/>
      <c r="I12" s="40"/>
      <c r="J12" s="40"/>
      <c r="K12" s="35"/>
      <c r="L12" s="35"/>
    </row>
    <row r="13" spans="1:12">
      <c r="A13" s="35"/>
      <c r="B13" s="40"/>
      <c r="C13" s="35"/>
      <c r="D13" s="40"/>
      <c r="E13" s="35"/>
      <c r="F13" s="40"/>
      <c r="G13" s="40"/>
      <c r="H13" s="40"/>
      <c r="I13" s="40"/>
      <c r="J13" s="40"/>
      <c r="K13" s="35"/>
      <c r="L13" s="35"/>
    </row>
    <row r="14" spans="1:12">
      <c r="A14" s="35"/>
      <c r="B14" s="40"/>
      <c r="C14" s="35"/>
      <c r="D14" s="40"/>
      <c r="E14" s="35"/>
      <c r="F14" s="40"/>
      <c r="G14" s="40"/>
      <c r="H14" s="40"/>
      <c r="I14" s="40"/>
      <c r="J14" s="40"/>
      <c r="K14" s="35"/>
      <c r="L14" s="35"/>
    </row>
    <row r="15" spans="1:12">
      <c r="A15" s="35"/>
      <c r="B15" s="35"/>
      <c r="C15" s="35"/>
      <c r="D15" s="35"/>
      <c r="E15" s="35"/>
      <c r="F15" s="40"/>
      <c r="G15" s="40"/>
      <c r="H15" s="40"/>
      <c r="I15" s="40"/>
      <c r="J15" s="40"/>
      <c r="K15" s="35"/>
      <c r="L15" s="35"/>
    </row>
    <row r="16" spans="1:12">
      <c r="A16" s="35"/>
      <c r="B16" s="37" t="str">
        <f>UPPER("Annual Lockages")</f>
        <v>ANNUAL LOCKAGES</v>
      </c>
      <c r="C16" s="37"/>
      <c r="D16" s="38"/>
      <c r="E16" s="35"/>
      <c r="F16" s="36" t="s">
        <v>115</v>
      </c>
      <c r="G16" s="42"/>
      <c r="H16" s="42"/>
      <c r="I16" s="36" t="str">
        <f>CONCATENATE("From ",INDEX('Form Options'!$C$4:$C$5,'Form Options'!$C$1))</f>
        <v>From Clackamas County</v>
      </c>
      <c r="J16" s="40"/>
      <c r="K16" s="35"/>
      <c r="L16" s="35"/>
    </row>
    <row r="17" spans="1:12">
      <c r="A17" s="35"/>
      <c r="B17" s="40"/>
      <c r="C17" s="40"/>
      <c r="D17" s="40"/>
      <c r="E17" s="35"/>
      <c r="F17" s="53" t="s">
        <v>112</v>
      </c>
      <c r="G17" s="41">
        <f>Tables!R30</f>
        <v>4200</v>
      </c>
      <c r="H17" s="41"/>
      <c r="I17" s="53" t="s">
        <v>112</v>
      </c>
      <c r="J17" s="41">
        <f>J27</f>
        <v>506900</v>
      </c>
      <c r="K17" s="35"/>
      <c r="L17" s="35"/>
    </row>
    <row r="18" spans="1:12">
      <c r="A18" s="35"/>
      <c r="B18" s="40"/>
      <c r="C18" s="40"/>
      <c r="D18" s="40"/>
      <c r="E18" s="35"/>
      <c r="F18" s="53" t="s">
        <v>113</v>
      </c>
      <c r="G18" s="41">
        <f>Tables!S30</f>
        <v>8400</v>
      </c>
      <c r="H18" s="41"/>
      <c r="I18" s="53" t="s">
        <v>113</v>
      </c>
      <c r="J18" s="41">
        <f>J32</f>
        <v>518390</v>
      </c>
      <c r="K18" s="35"/>
      <c r="L18" s="35"/>
    </row>
    <row r="19" spans="1:12">
      <c r="A19" s="35"/>
      <c r="B19" s="40"/>
      <c r="C19" s="40"/>
      <c r="D19" s="40"/>
      <c r="E19" s="35"/>
      <c r="F19" s="43"/>
      <c r="G19" s="43"/>
      <c r="H19" s="43"/>
      <c r="I19" s="43"/>
      <c r="J19" s="43"/>
      <c r="K19" s="35"/>
      <c r="L19" s="35"/>
    </row>
    <row r="20" spans="1:12">
      <c r="A20" s="35"/>
      <c r="B20" s="40"/>
      <c r="C20" s="40"/>
      <c r="D20" s="40"/>
      <c r="E20" s="35"/>
      <c r="F20" s="35"/>
      <c r="G20" s="35"/>
      <c r="H20" s="35"/>
      <c r="I20" s="35"/>
      <c r="J20" s="35"/>
      <c r="K20" s="35"/>
      <c r="L20" s="35"/>
    </row>
    <row r="21" spans="1:12">
      <c r="A21" s="35"/>
      <c r="B21" s="40"/>
      <c r="C21" s="40"/>
      <c r="D21" s="40"/>
      <c r="E21" s="35"/>
      <c r="F21" s="37" t="str">
        <f>UPPER("Costs")</f>
        <v>COSTS</v>
      </c>
      <c r="G21" s="37"/>
      <c r="H21" s="37"/>
      <c r="I21" s="37"/>
      <c r="J21" s="37"/>
      <c r="K21" s="35"/>
      <c r="L21" s="35"/>
    </row>
    <row r="22" spans="1:12">
      <c r="A22" s="35"/>
      <c r="B22" s="40"/>
      <c r="C22" s="40"/>
      <c r="D22" s="40"/>
      <c r="E22" s="35"/>
      <c r="F22" s="40"/>
      <c r="G22" s="40"/>
      <c r="H22" s="40"/>
      <c r="I22" s="40"/>
      <c r="J22" s="40"/>
      <c r="K22" s="35"/>
      <c r="L22" s="35"/>
    </row>
    <row r="23" spans="1:12">
      <c r="A23" s="35"/>
      <c r="B23" s="40"/>
      <c r="C23" s="40"/>
      <c r="D23" s="40"/>
      <c r="E23" s="35"/>
      <c r="F23" s="36" t="s">
        <v>121</v>
      </c>
      <c r="G23" s="36"/>
      <c r="H23" s="36"/>
      <c r="I23" s="36"/>
      <c r="J23" s="40"/>
      <c r="K23" s="35"/>
      <c r="L23" s="35"/>
    </row>
    <row r="24" spans="1:12">
      <c r="A24" s="35"/>
      <c r="B24" s="40"/>
      <c r="C24" s="40"/>
      <c r="D24" s="40"/>
      <c r="E24" s="35"/>
      <c r="F24" s="40" t="s">
        <v>110</v>
      </c>
      <c r="G24" s="40"/>
      <c r="H24" s="40"/>
      <c r="I24" s="40"/>
      <c r="J24" s="41">
        <f>Tables!$N$30</f>
        <v>156900</v>
      </c>
      <c r="K24" s="35"/>
      <c r="L24" s="35"/>
    </row>
    <row r="25" spans="1:12">
      <c r="A25" s="35"/>
      <c r="B25" s="40"/>
      <c r="C25" s="40"/>
      <c r="D25" s="40"/>
      <c r="E25" s="35"/>
      <c r="F25" s="40" t="s">
        <v>122</v>
      </c>
      <c r="G25" s="40"/>
      <c r="H25" s="40"/>
      <c r="I25" s="40"/>
      <c r="J25" s="69">
        <f>Tables!$P$30</f>
        <v>250000</v>
      </c>
      <c r="K25" s="35"/>
      <c r="L25" s="35"/>
    </row>
    <row r="26" spans="1:12" ht="13.5" thickBot="1">
      <c r="A26" s="35"/>
      <c r="B26" s="40"/>
      <c r="C26" s="40"/>
      <c r="D26" s="40"/>
      <c r="E26" s="35"/>
      <c r="F26" s="51" t="s">
        <v>111</v>
      </c>
      <c r="G26" s="51"/>
      <c r="H26" s="51"/>
      <c r="I26" s="51"/>
      <c r="J26" s="70">
        <f>Tables!$O$30</f>
        <v>100000</v>
      </c>
      <c r="K26" s="35"/>
      <c r="L26" s="35"/>
    </row>
    <row r="27" spans="1:12" ht="13.5" thickTop="1">
      <c r="A27" s="35"/>
      <c r="B27" s="40"/>
      <c r="C27" s="40"/>
      <c r="D27" s="40"/>
      <c r="E27" s="35"/>
      <c r="F27" s="43"/>
      <c r="G27" s="42"/>
      <c r="H27" s="42"/>
      <c r="I27" s="53" t="s">
        <v>104</v>
      </c>
      <c r="J27" s="41">
        <f>SUM(J24:J26)</f>
        <v>506900</v>
      </c>
      <c r="K27" s="35"/>
      <c r="L27" s="35"/>
    </row>
    <row r="28" spans="1:12">
      <c r="A28" s="35"/>
      <c r="B28" s="40"/>
      <c r="C28" s="40"/>
      <c r="D28" s="40"/>
      <c r="E28" s="35"/>
      <c r="F28" s="43"/>
      <c r="G28" s="53"/>
      <c r="H28" s="53"/>
      <c r="I28" s="53" t="s">
        <v>108</v>
      </c>
      <c r="J28" s="41">
        <f>J27-G18</f>
        <v>498500</v>
      </c>
      <c r="K28" s="35"/>
      <c r="L28" s="35"/>
    </row>
    <row r="29" spans="1:12">
      <c r="A29" s="35"/>
      <c r="B29" s="40"/>
      <c r="C29" s="40"/>
      <c r="D29" s="40"/>
      <c r="E29" s="35"/>
      <c r="F29" s="43"/>
      <c r="G29" s="53"/>
      <c r="H29" s="53"/>
      <c r="I29" s="53"/>
      <c r="J29" s="41"/>
      <c r="K29" s="35"/>
      <c r="L29" s="35"/>
    </row>
    <row r="30" spans="1:12" ht="13.5" thickBot="1">
      <c r="A30" s="35"/>
      <c r="B30" s="40"/>
      <c r="C30" s="40"/>
      <c r="D30" s="40"/>
      <c r="E30" s="35"/>
      <c r="F30" s="67" t="str">
        <f>CONCATENATE("  O&amp;M Contingency (",(Tables!U8-1)*100,"%)")</f>
        <v xml:space="preserve">  O&amp;M Contingency (10%)</v>
      </c>
      <c r="G30" s="52"/>
      <c r="H30" s="52"/>
      <c r="I30" s="67"/>
      <c r="J30" s="68">
        <f>$J$24*(Tables!$U$8-1)</f>
        <v>15690.000000000015</v>
      </c>
      <c r="K30" s="35"/>
      <c r="L30" s="35"/>
    </row>
    <row r="31" spans="1:12" ht="13.5" thickTop="1">
      <c r="A31" s="35"/>
      <c r="B31" s="40"/>
      <c r="C31" s="40"/>
      <c r="D31" s="40"/>
      <c r="E31" s="35"/>
      <c r="F31" s="60"/>
      <c r="G31" s="47"/>
      <c r="H31" s="47"/>
      <c r="I31" s="53" t="s">
        <v>105</v>
      </c>
      <c r="J31" s="41">
        <f>J27+J30</f>
        <v>522590</v>
      </c>
      <c r="K31" s="35"/>
      <c r="L31" s="35"/>
    </row>
    <row r="32" spans="1:12">
      <c r="A32" s="35"/>
      <c r="B32" s="40"/>
      <c r="C32" s="40"/>
      <c r="D32" s="40"/>
      <c r="E32" s="35"/>
      <c r="F32" s="43"/>
      <c r="G32" s="53"/>
      <c r="H32" s="53"/>
      <c r="I32" s="53" t="s">
        <v>108</v>
      </c>
      <c r="J32" s="41">
        <f>J31-G17</f>
        <v>518390</v>
      </c>
      <c r="K32" s="35"/>
      <c r="L32" s="35"/>
    </row>
    <row r="33" spans="1:12">
      <c r="A33" s="35"/>
      <c r="B33" s="40"/>
      <c r="C33" s="40"/>
      <c r="D33" s="40"/>
      <c r="E33" s="35"/>
      <c r="F33" s="43"/>
      <c r="G33" s="43"/>
      <c r="H33" s="43"/>
      <c r="I33" s="43"/>
      <c r="J33" s="43"/>
      <c r="K33" s="35"/>
      <c r="L33" s="35"/>
    </row>
    <row r="34" spans="1:12">
      <c r="A34" s="35"/>
      <c r="B34" s="40"/>
      <c r="C34" s="40"/>
      <c r="D34" s="40"/>
      <c r="E34" s="35"/>
      <c r="F34" s="35"/>
      <c r="G34" s="35"/>
      <c r="H34" s="35"/>
      <c r="I34" s="35"/>
      <c r="J34" s="35"/>
      <c r="K34" s="35"/>
      <c r="L34" s="35"/>
    </row>
    <row r="35" spans="1:12">
      <c r="A35" s="35"/>
      <c r="B35" s="40"/>
      <c r="C35" s="40"/>
      <c r="D35" s="40"/>
      <c r="E35" s="35"/>
      <c r="F35" s="37" t="str">
        <f>UPPER("Set-Asides &amp; Contingency")</f>
        <v>SET-ASIDES &amp; CONTINGENCY</v>
      </c>
      <c r="G35" s="37"/>
      <c r="H35" s="61"/>
      <c r="I35" s="37" t="str">
        <f>UPPER("Tax Impacts")</f>
        <v>TAX IMPACTS</v>
      </c>
      <c r="J35" s="37"/>
      <c r="K35" s="35"/>
      <c r="L35" s="35"/>
    </row>
    <row r="36" spans="1:12">
      <c r="A36" s="35"/>
      <c r="B36" s="40"/>
      <c r="C36" s="40"/>
      <c r="D36" s="40"/>
      <c r="E36" s="35"/>
      <c r="F36" s="40"/>
      <c r="G36" s="40"/>
      <c r="H36" s="35"/>
      <c r="I36" s="40"/>
      <c r="J36" s="40"/>
      <c r="K36" s="35"/>
      <c r="L36" s="35"/>
    </row>
    <row r="37" spans="1:12">
      <c r="A37" s="35"/>
      <c r="B37" s="40"/>
      <c r="C37" s="40"/>
      <c r="D37" s="40"/>
      <c r="E37" s="35"/>
      <c r="F37" s="36" t="s">
        <v>119</v>
      </c>
      <c r="G37" s="36" t="s">
        <v>120</v>
      </c>
      <c r="H37" s="62"/>
      <c r="I37" s="44" t="s">
        <v>118</v>
      </c>
      <c r="J37" s="44"/>
      <c r="K37" s="35"/>
      <c r="L37" s="35"/>
    </row>
    <row r="38" spans="1:12">
      <c r="A38" s="35"/>
      <c r="B38" s="40"/>
      <c r="C38" s="40"/>
      <c r="D38" s="40"/>
      <c r="E38" s="35"/>
      <c r="F38" s="53"/>
      <c r="G38" s="48"/>
      <c r="H38" s="63"/>
      <c r="I38" s="53" t="s">
        <v>112</v>
      </c>
      <c r="J38" s="48">
        <f>Tables!U30/(Tables!$T$4/100000)</f>
        <v>1.7623646418613874</v>
      </c>
      <c r="K38" s="35"/>
      <c r="L38" s="35"/>
    </row>
    <row r="39" spans="1:12">
      <c r="A39" s="35"/>
      <c r="B39" s="40"/>
      <c r="C39" s="40"/>
      <c r="D39" s="40"/>
      <c r="E39" s="35"/>
      <c r="F39" s="53"/>
      <c r="G39" s="48"/>
      <c r="H39" s="63"/>
      <c r="I39" s="53" t="s">
        <v>113</v>
      </c>
      <c r="J39" s="48">
        <f>Tables!V30/(Tables!$T$4/100000)</f>
        <v>1.9386358735488451</v>
      </c>
      <c r="K39" s="35"/>
      <c r="L39" s="35"/>
    </row>
    <row r="40" spans="1:12">
      <c r="A40" s="35"/>
      <c r="B40" s="40"/>
      <c r="C40" s="40"/>
      <c r="D40" s="40"/>
      <c r="E40" s="35"/>
      <c r="F40" s="40"/>
      <c r="G40" s="40"/>
      <c r="H40" s="35"/>
      <c r="I40" s="40"/>
      <c r="J40" s="40"/>
      <c r="K40" s="35"/>
      <c r="L40" s="35"/>
    </row>
    <row r="41" spans="1:12">
      <c r="A41" s="35"/>
      <c r="B41" s="40"/>
      <c r="C41" s="40"/>
      <c r="D41" s="40"/>
      <c r="E41" s="35"/>
      <c r="F41" s="36"/>
      <c r="G41" s="36"/>
      <c r="H41" s="64"/>
      <c r="I41" s="36" t="s">
        <v>106</v>
      </c>
      <c r="J41" s="36"/>
      <c r="K41" s="35"/>
      <c r="L41" s="35"/>
    </row>
    <row r="42" spans="1:12">
      <c r="A42" s="35"/>
      <c r="B42" s="54"/>
      <c r="C42" s="54"/>
      <c r="D42" s="54"/>
      <c r="E42" s="35"/>
      <c r="F42" s="53"/>
      <c r="G42" s="55"/>
      <c r="H42" s="65"/>
      <c r="I42" s="53" t="s">
        <v>112</v>
      </c>
      <c r="J42" s="55">
        <f>Tables!W30/Tables!$U$4</f>
        <v>7.6783936384060725E-4</v>
      </c>
      <c r="K42" s="35"/>
      <c r="L42" s="35"/>
    </row>
    <row r="43" spans="1:12">
      <c r="A43" s="35"/>
      <c r="B43" s="54"/>
      <c r="C43" s="54"/>
      <c r="D43" s="54"/>
      <c r="E43" s="35"/>
      <c r="F43" s="53"/>
      <c r="G43" s="55"/>
      <c r="H43" s="65"/>
      <c r="I43" s="53" t="s">
        <v>113</v>
      </c>
      <c r="J43" s="55">
        <f>Tables!X30/Tables!$U$4</f>
        <v>8.5240181333880052E-4</v>
      </c>
      <c r="K43" s="35"/>
      <c r="L43" s="35"/>
    </row>
    <row r="44" spans="1:12">
      <c r="A44" s="35"/>
      <c r="B44" s="54"/>
      <c r="C44" s="54"/>
      <c r="D44" s="54"/>
      <c r="E44" s="35"/>
      <c r="F44" s="54"/>
      <c r="G44" s="54"/>
      <c r="H44" s="66"/>
      <c r="I44" s="54"/>
      <c r="J44" s="54"/>
      <c r="K44" s="35"/>
      <c r="L44" s="35"/>
    </row>
    <row r="45" spans="1:12">
      <c r="A45" s="35"/>
      <c r="B45" s="54"/>
      <c r="C45" s="54"/>
      <c r="D45" s="54"/>
      <c r="E45" s="35"/>
      <c r="F45" s="35"/>
      <c r="G45" s="35"/>
      <c r="H45" s="35"/>
      <c r="I45" s="35"/>
      <c r="J45" s="35"/>
      <c r="K45" s="35"/>
      <c r="L45" s="35"/>
    </row>
    <row r="46" spans="1:12">
      <c r="A46" s="35"/>
      <c r="B46" s="54"/>
      <c r="C46" s="54"/>
      <c r="D46" s="54"/>
      <c r="E46" s="35"/>
      <c r="F46" s="58"/>
      <c r="G46" s="58"/>
      <c r="H46" s="58"/>
      <c r="I46" s="58"/>
      <c r="J46" s="58"/>
      <c r="K46" s="35"/>
      <c r="L46" s="35"/>
    </row>
    <row r="47" spans="1:12">
      <c r="A47" s="35"/>
      <c r="B47" s="54"/>
      <c r="C47" s="54"/>
      <c r="D47" s="54"/>
      <c r="E47" s="35"/>
      <c r="F47" s="58"/>
      <c r="G47" s="58"/>
      <c r="H47" s="58"/>
      <c r="I47" s="58"/>
      <c r="J47" s="58"/>
      <c r="K47" s="35"/>
      <c r="L47" s="35"/>
    </row>
    <row r="48" spans="1:12">
      <c r="A48" s="35"/>
      <c r="B48" s="54"/>
      <c r="C48" s="54"/>
      <c r="D48" s="54"/>
      <c r="E48" s="35"/>
      <c r="F48" s="58"/>
      <c r="G48" s="58"/>
      <c r="H48" s="58"/>
      <c r="I48" s="58"/>
      <c r="J48" s="58"/>
      <c r="K48" s="35"/>
      <c r="L48" s="35"/>
    </row>
    <row r="49" spans="1:12" ht="12.95" customHeight="1">
      <c r="A49" s="35"/>
      <c r="B49" s="54"/>
      <c r="C49" s="54"/>
      <c r="D49" s="54"/>
      <c r="E49" s="35"/>
      <c r="F49" s="58"/>
      <c r="G49" s="58"/>
      <c r="H49" s="58"/>
      <c r="I49" s="58"/>
      <c r="J49" s="58"/>
      <c r="K49" s="35"/>
      <c r="L49" s="35"/>
    </row>
    <row r="50" spans="1:12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</row>
  </sheetData>
  <sheetProtection selectLockedCells="1" selectUnlockedCells="1"/>
  <pageMargins left="0.75" right="0.75" top="1" bottom="1" header="0.5" footer="0.5"/>
  <pageSetup orientation="portrait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List Box 1">
              <controlPr defaultSize="0" autoLine="0" autoPict="0">
                <anchor moveWithCells="1">
                  <from>
                    <xdr:col>1</xdr:col>
                    <xdr:colOff>76200</xdr:colOff>
                    <xdr:row>9</xdr:row>
                    <xdr:rowOff>66675</xdr:rowOff>
                  </from>
                  <to>
                    <xdr:col>1</xdr:col>
                    <xdr:colOff>2362200</xdr:colOff>
                    <xdr:row>13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4" name="List Box 9">
              <controlPr defaultSize="0" autoLine="0" autoPict="0">
                <anchor moveWithCells="1">
                  <from>
                    <xdr:col>3</xdr:col>
                    <xdr:colOff>38100</xdr:colOff>
                    <xdr:row>9</xdr:row>
                    <xdr:rowOff>9525</xdr:rowOff>
                  </from>
                  <to>
                    <xdr:col>3</xdr:col>
                    <xdr:colOff>904875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5" name="List Box 11">
              <controlPr defaultSize="0" autoLine="0" autoPict="0">
                <anchor moveWithCells="1">
                  <from>
                    <xdr:col>5</xdr:col>
                    <xdr:colOff>66675</xdr:colOff>
                    <xdr:row>37</xdr:row>
                    <xdr:rowOff>66675</xdr:rowOff>
                  </from>
                  <to>
                    <xdr:col>5</xdr:col>
                    <xdr:colOff>1028700</xdr:colOff>
                    <xdr:row>42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6" name="List Box 12">
              <controlPr defaultSize="0" autoLine="0" autoPict="0">
                <anchor moveWithCells="1">
                  <from>
                    <xdr:col>6</xdr:col>
                    <xdr:colOff>66675</xdr:colOff>
                    <xdr:row>37</xdr:row>
                    <xdr:rowOff>76200</xdr:rowOff>
                  </from>
                  <to>
                    <xdr:col>6</xdr:col>
                    <xdr:colOff>695325</xdr:colOff>
                    <xdr:row>42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7" name="List Box 8">
              <controlPr defaultSize="0" autoLine="0" autoPict="0">
                <anchor moveWithCells="1">
                  <from>
                    <xdr:col>5</xdr:col>
                    <xdr:colOff>28575</xdr:colOff>
                    <xdr:row>9</xdr:row>
                    <xdr:rowOff>66675</xdr:rowOff>
                  </from>
                  <to>
                    <xdr:col>6</xdr:col>
                    <xdr:colOff>466725</xdr:colOff>
                    <xdr:row>13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List Box 5">
              <controlPr defaultSize="0" autoLine="0" autoPict="0">
                <anchor moveWithCells="1">
                  <from>
                    <xdr:col>8</xdr:col>
                    <xdr:colOff>28575</xdr:colOff>
                    <xdr:row>9</xdr:row>
                    <xdr:rowOff>66675</xdr:rowOff>
                  </from>
                  <to>
                    <xdr:col>8</xdr:col>
                    <xdr:colOff>828675</xdr:colOff>
                    <xdr:row>13</xdr:row>
                    <xdr:rowOff>104775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F20"/>
  <sheetViews>
    <sheetView workbookViewId="0">
      <selection activeCell="E1" sqref="E1"/>
    </sheetView>
  </sheetViews>
  <sheetFormatPr defaultColWidth="11.42578125" defaultRowHeight="12.75"/>
  <sheetData>
    <row r="1" spans="1:6">
      <c r="A1" s="8">
        <v>1</v>
      </c>
      <c r="B1" s="8">
        <v>15</v>
      </c>
      <c r="C1" s="8">
        <v>2</v>
      </c>
      <c r="D1" s="8">
        <v>11</v>
      </c>
      <c r="E1" s="8">
        <v>4</v>
      </c>
      <c r="F1" s="8">
        <v>3</v>
      </c>
    </row>
    <row r="3" spans="1:6">
      <c r="A3" t="s">
        <v>16</v>
      </c>
      <c r="B3" t="s">
        <v>14</v>
      </c>
      <c r="C3" t="s">
        <v>43</v>
      </c>
      <c r="D3" t="s">
        <v>92</v>
      </c>
      <c r="E3" t="s">
        <v>116</v>
      </c>
      <c r="F3" t="s">
        <v>117</v>
      </c>
    </row>
    <row r="4" spans="1:6">
      <c r="A4" t="s">
        <v>51</v>
      </c>
      <c r="B4" s="26">
        <v>0</v>
      </c>
      <c r="C4" t="s">
        <v>30</v>
      </c>
      <c r="D4" s="27">
        <v>0</v>
      </c>
      <c r="E4" s="27">
        <v>25000</v>
      </c>
      <c r="F4" s="59">
        <v>0</v>
      </c>
    </row>
    <row r="5" spans="1:6">
      <c r="A5" t="s">
        <v>52</v>
      </c>
      <c r="B5" s="26">
        <f>B4+1</f>
        <v>1</v>
      </c>
      <c r="C5" t="s">
        <v>44</v>
      </c>
      <c r="D5" s="27">
        <f>D4+25000</f>
        <v>25000</v>
      </c>
      <c r="E5" s="27">
        <f>E4+25000</f>
        <v>50000</v>
      </c>
      <c r="F5" s="59">
        <f>F4+0.05</f>
        <v>0.05</v>
      </c>
    </row>
    <row r="6" spans="1:6">
      <c r="A6" t="s">
        <v>53</v>
      </c>
      <c r="B6" s="26">
        <f t="shared" ref="B6:B19" si="0">B5+1</f>
        <v>2</v>
      </c>
      <c r="D6" s="27">
        <f t="shared" ref="D6:D14" si="1">D5+25000</f>
        <v>50000</v>
      </c>
      <c r="E6" s="27">
        <f>E5+25000</f>
        <v>75000</v>
      </c>
      <c r="F6" s="59">
        <f t="shared" ref="F6:F10" si="2">F5+0.05</f>
        <v>0.1</v>
      </c>
    </row>
    <row r="7" spans="1:6">
      <c r="B7" s="26">
        <f t="shared" si="0"/>
        <v>3</v>
      </c>
      <c r="D7" s="27">
        <f t="shared" si="1"/>
        <v>75000</v>
      </c>
      <c r="E7" s="27">
        <f>E6+25000</f>
        <v>100000</v>
      </c>
      <c r="F7" s="59">
        <f t="shared" si="2"/>
        <v>0.15000000000000002</v>
      </c>
    </row>
    <row r="8" spans="1:6">
      <c r="B8" s="26">
        <f t="shared" si="0"/>
        <v>4</v>
      </c>
      <c r="D8" s="27">
        <f t="shared" si="1"/>
        <v>100000</v>
      </c>
      <c r="E8" s="27">
        <f>E7+25000</f>
        <v>125000</v>
      </c>
      <c r="F8" s="59">
        <f t="shared" si="2"/>
        <v>0.2</v>
      </c>
    </row>
    <row r="9" spans="1:6">
      <c r="B9" s="26">
        <f t="shared" si="0"/>
        <v>5</v>
      </c>
      <c r="D9" s="27">
        <f t="shared" si="1"/>
        <v>125000</v>
      </c>
      <c r="E9" s="27">
        <f>E8+25000</f>
        <v>150000</v>
      </c>
      <c r="F9" s="59">
        <f t="shared" si="2"/>
        <v>0.25</v>
      </c>
    </row>
    <row r="10" spans="1:6">
      <c r="B10" s="26">
        <f t="shared" si="0"/>
        <v>6</v>
      </c>
      <c r="D10" s="27">
        <f t="shared" si="1"/>
        <v>150000</v>
      </c>
      <c r="E10" s="27"/>
      <c r="F10" s="59">
        <f t="shared" si="2"/>
        <v>0.3</v>
      </c>
    </row>
    <row r="11" spans="1:6">
      <c r="B11" s="26">
        <f t="shared" si="0"/>
        <v>7</v>
      </c>
      <c r="D11" s="27">
        <f t="shared" si="1"/>
        <v>175000</v>
      </c>
      <c r="E11" s="27"/>
    </row>
    <row r="12" spans="1:6">
      <c r="B12" s="26">
        <f t="shared" si="0"/>
        <v>8</v>
      </c>
      <c r="D12" s="27">
        <f t="shared" si="1"/>
        <v>200000</v>
      </c>
      <c r="E12" s="27"/>
    </row>
    <row r="13" spans="1:6">
      <c r="B13" s="26">
        <f t="shared" si="0"/>
        <v>9</v>
      </c>
      <c r="D13" s="27">
        <f t="shared" si="1"/>
        <v>225000</v>
      </c>
      <c r="E13" s="27"/>
    </row>
    <row r="14" spans="1:6">
      <c r="B14" s="26">
        <f t="shared" si="0"/>
        <v>10</v>
      </c>
      <c r="D14" s="27">
        <f t="shared" si="1"/>
        <v>250000</v>
      </c>
      <c r="E14" s="27"/>
    </row>
    <row r="15" spans="1:6">
      <c r="B15" s="26">
        <f t="shared" si="0"/>
        <v>11</v>
      </c>
    </row>
    <row r="16" spans="1:6">
      <c r="B16" s="26">
        <f t="shared" si="0"/>
        <v>12</v>
      </c>
    </row>
    <row r="17" spans="2:2">
      <c r="B17" s="26">
        <f t="shared" si="0"/>
        <v>13</v>
      </c>
    </row>
    <row r="18" spans="2:2">
      <c r="B18" s="26">
        <f t="shared" si="0"/>
        <v>14</v>
      </c>
    </row>
    <row r="19" spans="2:2">
      <c r="B19" s="26">
        <f t="shared" si="0"/>
        <v>15</v>
      </c>
    </row>
    <row r="20" spans="2:2">
      <c r="B20" s="17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Y63"/>
  <sheetViews>
    <sheetView topLeftCell="D1" workbookViewId="0">
      <selection activeCell="U30" sqref="U30"/>
    </sheetView>
  </sheetViews>
  <sheetFormatPr defaultColWidth="11.42578125" defaultRowHeight="12.75"/>
  <cols>
    <col min="1" max="1" width="24.42578125" bestFit="1" customWidth="1"/>
    <col min="2" max="2" width="8.42578125" bestFit="1" customWidth="1"/>
    <col min="3" max="3" width="8.42578125" customWidth="1"/>
    <col min="4" max="5" width="8.42578125" style="10" customWidth="1"/>
    <col min="6" max="6" width="9.85546875" style="1" bestFit="1" customWidth="1"/>
    <col min="7" max="7" width="9.85546875" style="1" customWidth="1"/>
    <col min="8" max="8" width="8.42578125" style="1" customWidth="1"/>
    <col min="9" max="9" width="9.85546875" customWidth="1"/>
    <col min="10" max="11" width="5" customWidth="1"/>
    <col min="12" max="13" width="9.85546875" customWidth="1"/>
    <col min="14" max="14" width="10.7109375" style="1" customWidth="1"/>
    <col min="15" max="15" width="11.42578125" bestFit="1" customWidth="1"/>
    <col min="16" max="16" width="11.42578125" customWidth="1"/>
    <col min="17" max="17" width="15" style="23" bestFit="1" customWidth="1"/>
    <col min="18" max="18" width="11.28515625" style="23" customWidth="1"/>
    <col min="19" max="19" width="11.28515625" customWidth="1"/>
    <col min="20" max="20" width="16" customWidth="1"/>
    <col min="21" max="21" width="14.140625" customWidth="1"/>
    <col min="22" max="22" width="13.85546875" bestFit="1" customWidth="1"/>
    <col min="23" max="24" width="12.140625" bestFit="1" customWidth="1"/>
  </cols>
  <sheetData>
    <row r="1" spans="1:25">
      <c r="A1" t="s">
        <v>75</v>
      </c>
      <c r="B1" s="31">
        <v>20000</v>
      </c>
      <c r="T1" t="s">
        <v>64</v>
      </c>
      <c r="U1" t="s">
        <v>67</v>
      </c>
    </row>
    <row r="2" spans="1:25">
      <c r="A2" t="s">
        <v>7</v>
      </c>
      <c r="B2" s="31">
        <f>OES!C7</f>
        <v>67440.281195079093</v>
      </c>
      <c r="C2" s="10"/>
      <c r="D2" s="12"/>
      <c r="S2" t="s">
        <v>30</v>
      </c>
      <c r="T2" s="27">
        <f>59845922533+76258612002</f>
        <v>136104534535</v>
      </c>
      <c r="U2" s="27">
        <f>1369838716.88+649224334.51+876876618.87</f>
        <v>2895939670.2600002</v>
      </c>
      <c r="V2" s="29"/>
    </row>
    <row r="3" spans="1:25">
      <c r="A3" t="s">
        <v>8</v>
      </c>
      <c r="B3" s="31">
        <f>OES!E7</f>
        <v>50580.21089630932</v>
      </c>
      <c r="C3" s="10"/>
      <c r="S3" t="s">
        <v>65</v>
      </c>
      <c r="T3" s="27">
        <v>28762492617</v>
      </c>
      <c r="U3" s="27">
        <v>649224334.50999999</v>
      </c>
      <c r="V3" s="29"/>
    </row>
    <row r="4" spans="1:25">
      <c r="A4" t="s">
        <v>62</v>
      </c>
      <c r="B4" s="4">
        <v>2</v>
      </c>
      <c r="S4" t="s">
        <v>66</v>
      </c>
      <c r="T4" s="27">
        <f>INDEX(T2:T3,LEFT('Form Options'!$C$1,2)*1)</f>
        <v>28762492617</v>
      </c>
      <c r="U4" s="27">
        <f>INDEX(U2:U3,LEFT('Form Options'!$C$1,2)*1)</f>
        <v>649224334.50999999</v>
      </c>
      <c r="V4" s="7"/>
    </row>
    <row r="5" spans="1:25">
      <c r="E5" s="10" t="s">
        <v>68</v>
      </c>
      <c r="F5" s="1" t="s">
        <v>69</v>
      </c>
    </row>
    <row r="6" spans="1:25">
      <c r="A6">
        <f>SUM(G16:G28)/SUM(H16:H28)</f>
        <v>2.037772397094431</v>
      </c>
      <c r="E6" s="19">
        <f>SUM(E13:E23)/SUM(E13:F23)</f>
        <v>0.30889863063225925</v>
      </c>
      <c r="F6" s="30">
        <f>1-E6</f>
        <v>0.6911013693677408</v>
      </c>
    </row>
    <row r="7" spans="1:25">
      <c r="B7" t="s">
        <v>17</v>
      </c>
      <c r="J7" t="s">
        <v>3</v>
      </c>
      <c r="U7" t="s">
        <v>26</v>
      </c>
    </row>
    <row r="8" spans="1:25">
      <c r="J8" t="s">
        <v>6</v>
      </c>
      <c r="U8" s="19">
        <f>INDEX('Form Options'!$F$4:$F$10,'Form Options'!$F$1)+1</f>
        <v>1.1000000000000001</v>
      </c>
    </row>
    <row r="9" spans="1:25" s="6" customFormat="1" ht="63.75">
      <c r="B9" s="6" t="s">
        <v>2</v>
      </c>
      <c r="C9" s="9" t="s">
        <v>28</v>
      </c>
      <c r="D9" s="10" t="s">
        <v>27</v>
      </c>
      <c r="E9" s="10" t="s">
        <v>58</v>
      </c>
      <c r="F9" s="9" t="s">
        <v>59</v>
      </c>
      <c r="G9" s="9" t="s">
        <v>56</v>
      </c>
      <c r="H9" s="9" t="s">
        <v>57</v>
      </c>
      <c r="I9" s="6" t="s">
        <v>13</v>
      </c>
      <c r="J9" s="6" t="s">
        <v>4</v>
      </c>
      <c r="K9" s="6" t="s">
        <v>5</v>
      </c>
      <c r="L9" s="6" t="s">
        <v>9</v>
      </c>
      <c r="M9" s="6" t="s">
        <v>10</v>
      </c>
      <c r="N9" s="9" t="s">
        <v>103</v>
      </c>
      <c r="O9" s="6" t="s">
        <v>94</v>
      </c>
      <c r="P9" s="6" t="s">
        <v>90</v>
      </c>
      <c r="Q9" s="24" t="s">
        <v>11</v>
      </c>
      <c r="R9" s="6" t="s">
        <v>77</v>
      </c>
      <c r="S9" s="6" t="s">
        <v>76</v>
      </c>
      <c r="T9" s="6" t="s">
        <v>99</v>
      </c>
      <c r="U9" s="6" t="s">
        <v>95</v>
      </c>
      <c r="V9" s="6" t="s">
        <v>96</v>
      </c>
      <c r="W9" s="6" t="s">
        <v>97</v>
      </c>
      <c r="X9" s="6" t="s">
        <v>98</v>
      </c>
      <c r="Y9" s="6" t="s">
        <v>74</v>
      </c>
    </row>
    <row r="10" spans="1:25">
      <c r="B10" s="2">
        <v>1994</v>
      </c>
      <c r="C10" s="13"/>
      <c r="F10" s="10"/>
      <c r="G10" s="10"/>
      <c r="H10" s="18"/>
      <c r="N10" s="25">
        <v>1253840</v>
      </c>
      <c r="Q10" s="25">
        <v>1253840</v>
      </c>
      <c r="R10"/>
      <c r="Y10" t="s">
        <v>18</v>
      </c>
    </row>
    <row r="11" spans="1:25">
      <c r="B11">
        <f>B10+1</f>
        <v>1995</v>
      </c>
      <c r="F11" s="10"/>
      <c r="G11" s="10"/>
      <c r="N11" s="25">
        <v>745193</v>
      </c>
      <c r="Q11" s="25">
        <v>745192</v>
      </c>
      <c r="R11"/>
      <c r="Y11" t="s">
        <v>18</v>
      </c>
    </row>
    <row r="12" spans="1:25">
      <c r="B12">
        <f t="shared" ref="B12:B30" si="0">B11+1</f>
        <v>1996</v>
      </c>
      <c r="F12" s="10"/>
      <c r="G12" s="10"/>
      <c r="N12" s="25">
        <v>1242935</v>
      </c>
      <c r="Q12" s="25">
        <v>1242934</v>
      </c>
      <c r="R12"/>
      <c r="Y12" t="s">
        <v>19</v>
      </c>
    </row>
    <row r="13" spans="1:25">
      <c r="B13">
        <f t="shared" si="0"/>
        <v>1997</v>
      </c>
      <c r="E13" s="34">
        <v>4500</v>
      </c>
      <c r="F13" s="34">
        <v>2900</v>
      </c>
      <c r="G13" s="22">
        <f>SUM(E13:F13)</f>
        <v>7400</v>
      </c>
      <c r="N13" s="25">
        <v>696184</v>
      </c>
      <c r="Q13" s="25">
        <v>696184</v>
      </c>
      <c r="R13"/>
      <c r="Y13" t="s">
        <v>20</v>
      </c>
    </row>
    <row r="14" spans="1:25">
      <c r="B14">
        <f t="shared" si="0"/>
        <v>1998</v>
      </c>
      <c r="E14" s="34">
        <v>500</v>
      </c>
      <c r="F14" s="34">
        <v>2900</v>
      </c>
      <c r="G14" s="22">
        <f>SUM(E14:F14)</f>
        <v>3400</v>
      </c>
      <c r="N14" s="25">
        <v>865491</v>
      </c>
      <c r="Q14" s="25">
        <v>865490</v>
      </c>
      <c r="R14"/>
      <c r="Y14" t="s">
        <v>18</v>
      </c>
    </row>
    <row r="15" spans="1:25">
      <c r="B15">
        <f t="shared" si="0"/>
        <v>1999</v>
      </c>
      <c r="N15" s="25">
        <v>498267</v>
      </c>
      <c r="Q15" s="25">
        <v>498267</v>
      </c>
      <c r="R15"/>
      <c r="Y15" t="s">
        <v>21</v>
      </c>
    </row>
    <row r="16" spans="1:25">
      <c r="B16">
        <f t="shared" si="0"/>
        <v>2000</v>
      </c>
      <c r="E16" s="34">
        <v>443</v>
      </c>
      <c r="F16" s="34">
        <f>2548+10</f>
        <v>2558</v>
      </c>
      <c r="G16" s="34">
        <f t="shared" ref="G16:G22" si="1">SUM(E16:F16)</f>
        <v>3001</v>
      </c>
      <c r="H16" s="34">
        <v>1503</v>
      </c>
      <c r="N16" s="25">
        <v>553632</v>
      </c>
      <c r="Q16" s="25">
        <v>553632</v>
      </c>
      <c r="R16"/>
      <c r="Y16" t="s">
        <v>21</v>
      </c>
    </row>
    <row r="17" spans="2:25">
      <c r="B17">
        <f t="shared" si="0"/>
        <v>2001</v>
      </c>
      <c r="E17" s="34">
        <v>338</v>
      </c>
      <c r="F17" s="34">
        <f>1831+16</f>
        <v>1847</v>
      </c>
      <c r="G17" s="34">
        <f t="shared" si="1"/>
        <v>2185</v>
      </c>
      <c r="H17" s="34">
        <v>937</v>
      </c>
      <c r="N17" s="25">
        <v>1336314</v>
      </c>
      <c r="Q17" s="25">
        <v>1336313</v>
      </c>
      <c r="R17"/>
      <c r="Y17" t="s">
        <v>22</v>
      </c>
    </row>
    <row r="18" spans="2:25">
      <c r="B18">
        <f t="shared" si="0"/>
        <v>2002</v>
      </c>
      <c r="E18" s="34">
        <v>229</v>
      </c>
      <c r="F18" s="34">
        <f>1068+4</f>
        <v>1072</v>
      </c>
      <c r="G18" s="34">
        <f t="shared" si="1"/>
        <v>1301</v>
      </c>
      <c r="H18" s="34">
        <v>789</v>
      </c>
      <c r="N18" s="25">
        <v>175897</v>
      </c>
      <c r="Q18" s="25">
        <v>175896</v>
      </c>
      <c r="R18"/>
      <c r="Y18" t="s">
        <v>23</v>
      </c>
    </row>
    <row r="19" spans="2:25">
      <c r="B19">
        <f t="shared" si="0"/>
        <v>2003</v>
      </c>
      <c r="E19" s="34">
        <v>145</v>
      </c>
      <c r="F19" s="34">
        <v>756</v>
      </c>
      <c r="G19" s="34">
        <f t="shared" si="1"/>
        <v>901</v>
      </c>
      <c r="H19" s="34">
        <v>548</v>
      </c>
      <c r="N19" s="25">
        <v>208029</v>
      </c>
      <c r="Q19" s="25">
        <v>208028</v>
      </c>
      <c r="R19"/>
      <c r="Y19" t="s">
        <v>23</v>
      </c>
    </row>
    <row r="20" spans="2:25">
      <c r="B20">
        <f t="shared" si="0"/>
        <v>2004</v>
      </c>
      <c r="E20" s="34">
        <v>149</v>
      </c>
      <c r="F20" s="34">
        <v>787</v>
      </c>
      <c r="G20" s="34">
        <f t="shared" si="1"/>
        <v>936</v>
      </c>
      <c r="H20" s="34">
        <v>309</v>
      </c>
      <c r="N20" s="25">
        <v>288805</v>
      </c>
      <c r="Q20" s="25">
        <v>288804</v>
      </c>
      <c r="R20"/>
      <c r="Y20" t="s">
        <v>23</v>
      </c>
    </row>
    <row r="21" spans="2:25">
      <c r="B21">
        <f t="shared" si="0"/>
        <v>2005</v>
      </c>
      <c r="E21" s="34">
        <v>84</v>
      </c>
      <c r="F21" s="34">
        <f>612+7</f>
        <v>619</v>
      </c>
      <c r="G21" s="34">
        <f t="shared" si="1"/>
        <v>703</v>
      </c>
      <c r="H21" s="34">
        <v>310</v>
      </c>
      <c r="N21" s="25">
        <v>191210</v>
      </c>
      <c r="Q21" s="25">
        <v>182000</v>
      </c>
      <c r="R21"/>
      <c r="Y21" t="s">
        <v>24</v>
      </c>
    </row>
    <row r="22" spans="2:25">
      <c r="B22">
        <f t="shared" si="0"/>
        <v>2006</v>
      </c>
      <c r="E22" s="34">
        <v>231</v>
      </c>
      <c r="F22" s="34">
        <f>795+4</f>
        <v>799</v>
      </c>
      <c r="G22" s="34">
        <f t="shared" si="1"/>
        <v>1030</v>
      </c>
      <c r="H22" s="34">
        <v>489</v>
      </c>
      <c r="N22" s="25">
        <v>72070</v>
      </c>
      <c r="Q22" s="25">
        <f>53000+156800</f>
        <v>209800</v>
      </c>
      <c r="R22"/>
      <c r="Y22" t="s">
        <v>24</v>
      </c>
    </row>
    <row r="23" spans="2:25">
      <c r="B23">
        <f t="shared" si="0"/>
        <v>2007</v>
      </c>
      <c r="E23" s="34">
        <v>216</v>
      </c>
      <c r="F23" s="34">
        <f>1052+2</f>
        <v>1054</v>
      </c>
      <c r="G23" s="34">
        <f>SUM(E23:F23)</f>
        <v>1270</v>
      </c>
      <c r="H23" s="34">
        <v>582</v>
      </c>
      <c r="N23" s="25">
        <v>61117</v>
      </c>
      <c r="Q23" s="25">
        <f>62352+26500+39410</f>
        <v>128262</v>
      </c>
      <c r="R23"/>
      <c r="Y23" t="s">
        <v>24</v>
      </c>
    </row>
    <row r="24" spans="2:25">
      <c r="B24">
        <f t="shared" si="0"/>
        <v>2008</v>
      </c>
      <c r="E24" s="22">
        <f t="shared" ref="E24:E28" si="2">ROUND(G24*$E$6,0)</f>
        <v>4</v>
      </c>
      <c r="F24" s="22">
        <f t="shared" ref="F24:F30" si="3">G24-E24</f>
        <v>8</v>
      </c>
      <c r="G24" s="34">
        <v>12</v>
      </c>
      <c r="H24" s="34">
        <v>6</v>
      </c>
      <c r="N24" s="25">
        <v>157000</v>
      </c>
      <c r="Q24" s="25">
        <f>155000</f>
        <v>155000</v>
      </c>
      <c r="R24"/>
    </row>
    <row r="25" spans="2:25">
      <c r="B25">
        <f t="shared" si="0"/>
        <v>2009</v>
      </c>
      <c r="E25" s="22">
        <f t="shared" si="2"/>
        <v>19</v>
      </c>
      <c r="F25" s="22">
        <f t="shared" si="3"/>
        <v>42</v>
      </c>
      <c r="G25" s="34">
        <v>61</v>
      </c>
      <c r="H25" s="34">
        <v>61</v>
      </c>
      <c r="N25" s="49"/>
      <c r="R25"/>
    </row>
    <row r="26" spans="2:25">
      <c r="B26">
        <f t="shared" si="0"/>
        <v>2010</v>
      </c>
      <c r="E26" s="22">
        <f t="shared" si="2"/>
        <v>339</v>
      </c>
      <c r="F26" s="22">
        <f t="shared" si="3"/>
        <v>759</v>
      </c>
      <c r="G26" s="34">
        <v>1098</v>
      </c>
      <c r="H26" s="34">
        <v>556</v>
      </c>
      <c r="N26" s="49"/>
      <c r="R26"/>
    </row>
    <row r="27" spans="2:25">
      <c r="B27">
        <f t="shared" si="0"/>
        <v>2011</v>
      </c>
      <c r="E27" s="22">
        <f t="shared" si="2"/>
        <v>38</v>
      </c>
      <c r="F27" s="22">
        <f t="shared" si="3"/>
        <v>86</v>
      </c>
      <c r="G27" s="34">
        <v>124</v>
      </c>
      <c r="H27" s="34">
        <v>103</v>
      </c>
      <c r="L27" t="s">
        <v>12</v>
      </c>
      <c r="N27" s="49"/>
      <c r="R27"/>
    </row>
    <row r="28" spans="2:25">
      <c r="B28">
        <f t="shared" si="0"/>
        <v>2012</v>
      </c>
      <c r="E28" s="22">
        <f t="shared" si="2"/>
        <v>1</v>
      </c>
      <c r="F28" s="22">
        <f t="shared" si="3"/>
        <v>1</v>
      </c>
      <c r="G28" s="34">
        <v>2</v>
      </c>
      <c r="H28" s="34">
        <v>2</v>
      </c>
      <c r="N28" s="49"/>
      <c r="R28"/>
    </row>
    <row r="29" spans="2:25">
      <c r="B29">
        <f t="shared" si="0"/>
        <v>2013</v>
      </c>
      <c r="N29" s="25">
        <v>110000</v>
      </c>
      <c r="R29"/>
    </row>
    <row r="30" spans="2:25">
      <c r="B30">
        <f t="shared" si="0"/>
        <v>2014</v>
      </c>
      <c r="E30" s="22">
        <f t="shared" ref="E30" si="4">ROUND(G30*$E$6,0)</f>
        <v>139</v>
      </c>
      <c r="F30" s="22">
        <f t="shared" si="3"/>
        <v>311</v>
      </c>
      <c r="G30" s="22">
        <f>INDEX(E37:E39,LEFT('Form Options'!$A$1,2)*1)</f>
        <v>450</v>
      </c>
      <c r="H30" s="1">
        <f>ROUND(G30/A6,0)</f>
        <v>221</v>
      </c>
      <c r="I30" s="2"/>
      <c r="J30" s="2">
        <v>2</v>
      </c>
      <c r="K30" s="2">
        <v>1</v>
      </c>
      <c r="L30" s="32">
        <f>LEFT(INDEX(B37:B39,'Form Options'!$A$1),3)/12*J30*$B$2+K30*$B$3</f>
        <v>84300.351493848866</v>
      </c>
      <c r="M30" s="32">
        <f>LEFT(INDEX(B37:B39,'Form Options'!$A$1),3)/12*B1</f>
        <v>5000</v>
      </c>
      <c r="N30" s="32">
        <f>ROUND(INDEX($M$40:$M$42,'Form Options'!$A$1),B4*-1)</f>
        <v>156900</v>
      </c>
      <c r="O30" s="31">
        <f>INDEX('Form Options'!$E$4:$E$9,'Form Options'!$E$1)</f>
        <v>100000</v>
      </c>
      <c r="P30" s="31">
        <f>INDEX('Form Options'!$D$4:$D$14,'Form Options'!$D$1)</f>
        <v>250000</v>
      </c>
      <c r="R30" s="32">
        <f>INDEX(D37:D39,LEFT('Form Options'!$A$1,2)*1)*INDEX('Form Options'!$B$4:$B$19,'Form Options'!$B$1)</f>
        <v>4200</v>
      </c>
      <c r="S30" s="32">
        <f>INDEX(C37:C39,LEFT('Form Options'!$A$1,2)*1)*INDEX('Form Options'!$B$4:$B$19,'Form Options'!$B$1)</f>
        <v>8400</v>
      </c>
      <c r="T30" s="32">
        <f>ROUND(N30+O30,B4*-1)</f>
        <v>256900</v>
      </c>
      <c r="U30" s="32">
        <f>ROUND((N30+O30+P30),B4*-1)</f>
        <v>506900</v>
      </c>
      <c r="V30" s="32">
        <f>ROUND((N30+O30+P30)*U8,B4*-1)</f>
        <v>557600</v>
      </c>
      <c r="W30" s="32">
        <f>ROUND((U30-S30),B4*-1)</f>
        <v>498500</v>
      </c>
      <c r="X30" s="32">
        <f>V30-R30</f>
        <v>553400</v>
      </c>
    </row>
    <row r="31" spans="2:25">
      <c r="D31"/>
      <c r="E31"/>
      <c r="F31"/>
      <c r="G31"/>
      <c r="H31"/>
      <c r="Q31" s="1"/>
      <c r="R31" s="1"/>
    </row>
    <row r="32" spans="2:25">
      <c r="D32"/>
      <c r="E32"/>
      <c r="F32"/>
      <c r="G32"/>
      <c r="H32"/>
      <c r="Q32" s="1"/>
      <c r="R32" s="1"/>
    </row>
    <row r="33" spans="1:22">
      <c r="C33" s="14"/>
      <c r="D33" s="14"/>
      <c r="E33" s="14"/>
      <c r="F33" s="15"/>
      <c r="G33" s="15"/>
      <c r="J33" s="13"/>
      <c r="K33" s="13"/>
      <c r="L33" s="10"/>
      <c r="M33" s="10"/>
      <c r="N33" s="28"/>
      <c r="O33" s="5"/>
      <c r="P33" s="5"/>
      <c r="S33" s="5"/>
      <c r="T33" s="5"/>
      <c r="U33" s="5"/>
      <c r="V33" s="15"/>
    </row>
    <row r="34" spans="1:22">
      <c r="B34" t="s">
        <v>49</v>
      </c>
      <c r="F34" s="18"/>
      <c r="G34" s="18"/>
      <c r="J34" s="13"/>
      <c r="K34" s="13"/>
      <c r="L34" s="10"/>
      <c r="M34" s="10"/>
      <c r="N34" s="28"/>
      <c r="O34" s="5"/>
      <c r="P34" s="5"/>
      <c r="S34" s="5"/>
      <c r="T34" s="5"/>
      <c r="U34" s="5"/>
      <c r="V34" s="15"/>
    </row>
    <row r="35" spans="1:22">
      <c r="B35" t="s">
        <v>48</v>
      </c>
      <c r="C35" t="s">
        <v>45</v>
      </c>
      <c r="D35" s="10" t="s">
        <v>46</v>
      </c>
      <c r="E35" s="10" t="s">
        <v>47</v>
      </c>
      <c r="F35" s="1" t="s">
        <v>50</v>
      </c>
      <c r="J35" s="13"/>
      <c r="K35" s="13"/>
      <c r="L35" s="10"/>
      <c r="M35" s="10"/>
      <c r="N35" s="28" t="s">
        <v>54</v>
      </c>
      <c r="O35" s="5"/>
      <c r="P35" s="5"/>
      <c r="Q35" s="5" t="s">
        <v>63</v>
      </c>
      <c r="R35" s="5"/>
      <c r="S35" s="5"/>
      <c r="T35" s="5"/>
      <c r="U35" s="5"/>
      <c r="V35" s="15"/>
    </row>
    <row r="36" spans="1:22">
      <c r="B36" s="21" t="s">
        <v>29</v>
      </c>
      <c r="C36" s="22">
        <f>INDEX(C37:C39,LEFT('Form Options'!$A$1,2)*1)</f>
        <v>600</v>
      </c>
      <c r="D36" s="22">
        <f>INDEX(D37:D39,LEFT('Form Options'!$A$1,2)*1)</f>
        <v>300</v>
      </c>
      <c r="E36" s="22">
        <f>INDEX(E37:E39,LEFT('Form Options'!$A$1,2)*1)</f>
        <v>450</v>
      </c>
      <c r="F36" s="22">
        <f>F38</f>
        <v>250</v>
      </c>
      <c r="J36" s="13"/>
      <c r="K36" s="13"/>
      <c r="L36" s="10"/>
      <c r="N36" s="50">
        <v>424000</v>
      </c>
      <c r="O36" s="5" t="s">
        <v>55</v>
      </c>
      <c r="P36" s="5"/>
      <c r="Q36" s="27">
        <v>200000</v>
      </c>
      <c r="R36" s="5" t="s">
        <v>55</v>
      </c>
      <c r="U36" s="5"/>
      <c r="V36" s="15"/>
    </row>
    <row r="37" spans="1:22">
      <c r="B37" t="str">
        <f>MID('Form Options'!A4,3,100)</f>
        <v xml:space="preserve"> 3 Months</v>
      </c>
      <c r="C37" s="16">
        <v>600</v>
      </c>
      <c r="D37" s="16">
        <v>300</v>
      </c>
      <c r="E37" s="22">
        <f>AVERAGE(C37:D37)</f>
        <v>450</v>
      </c>
      <c r="F37" s="22">
        <f>E37-D37</f>
        <v>150</v>
      </c>
      <c r="J37" s="13"/>
      <c r="K37" s="13"/>
      <c r="M37" s="27"/>
      <c r="N37" s="50">
        <f>N36*(PPI!$B$17/PPI!$B$7)</f>
        <v>576350.08827356354</v>
      </c>
      <c r="O37" s="5" t="s">
        <v>60</v>
      </c>
      <c r="P37" s="5"/>
      <c r="Q37" s="27">
        <f>Q36*(PPI!$B$17/PPI!$B$7)</f>
        <v>271863.24918564316</v>
      </c>
      <c r="R37" s="5" t="s">
        <v>60</v>
      </c>
      <c r="U37" s="5"/>
      <c r="V37" s="15"/>
    </row>
    <row r="38" spans="1:22">
      <c r="B38" t="str">
        <f>MID('Form Options'!A5,3,100)</f>
        <v xml:space="preserve"> 6 Months</v>
      </c>
      <c r="C38" s="16">
        <v>1500</v>
      </c>
      <c r="D38" s="16">
        <v>1000</v>
      </c>
      <c r="E38" s="22">
        <f t="shared" ref="E38:E39" si="5">AVERAGE(C38:D38)</f>
        <v>1250</v>
      </c>
      <c r="F38" s="22">
        <f t="shared" ref="F38:F39" si="6">E38-D38</f>
        <v>250</v>
      </c>
      <c r="J38" s="13"/>
      <c r="K38" s="13"/>
      <c r="L38" s="10"/>
      <c r="M38" s="10"/>
      <c r="N38" s="28"/>
      <c r="O38" s="5"/>
      <c r="P38" s="5"/>
      <c r="S38" s="5"/>
      <c r="T38" s="5"/>
      <c r="U38" s="5"/>
      <c r="V38" s="15"/>
    </row>
    <row r="39" spans="1:22">
      <c r="B39" t="str">
        <f>MID('Form Options'!A6,3,100)</f>
        <v xml:space="preserve"> 12 Months</v>
      </c>
      <c r="C39" s="16">
        <v>2500</v>
      </c>
      <c r="D39" s="16">
        <v>1700</v>
      </c>
      <c r="E39" s="22">
        <f t="shared" si="5"/>
        <v>2100</v>
      </c>
      <c r="F39" s="22">
        <f t="shared" si="6"/>
        <v>400</v>
      </c>
      <c r="J39" s="13"/>
      <c r="K39" s="13"/>
      <c r="L39" s="10"/>
      <c r="M39" s="10"/>
      <c r="N39" s="28"/>
      <c r="O39" s="5"/>
      <c r="P39" s="5"/>
      <c r="Q39" s="3" t="s">
        <v>88</v>
      </c>
      <c r="S39" s="5"/>
      <c r="T39" s="5"/>
      <c r="U39" s="5"/>
      <c r="V39" s="15"/>
    </row>
    <row r="40" spans="1:22" ht="38.25">
      <c r="C40" s="14"/>
      <c r="D40" s="14"/>
      <c r="E40" s="14"/>
      <c r="F40" s="15"/>
      <c r="G40" s="15"/>
      <c r="J40" s="13"/>
      <c r="K40" s="13"/>
      <c r="L40" s="6" t="s">
        <v>100</v>
      </c>
      <c r="M40" s="32">
        <f>M41/2</f>
        <v>156896.49910472892</v>
      </c>
      <c r="N40" s="28"/>
      <c r="O40" s="5"/>
      <c r="P40" s="5"/>
      <c r="Q40" s="27">
        <v>511000</v>
      </c>
      <c r="R40" s="3" t="s">
        <v>89</v>
      </c>
      <c r="S40" s="5"/>
      <c r="T40" s="5"/>
      <c r="U40" s="5"/>
      <c r="V40" s="15"/>
    </row>
    <row r="41" spans="1:22" ht="38.25">
      <c r="C41" s="14"/>
      <c r="D41" s="14"/>
      <c r="E41" s="14"/>
      <c r="F41" s="15"/>
      <c r="G41" s="15"/>
      <c r="J41" s="13"/>
      <c r="K41" s="13"/>
      <c r="L41" s="6" t="s">
        <v>101</v>
      </c>
      <c r="M41" s="34">
        <f>SUMPRODUCT($N$18:$N$20*PPI!$C$5:$C$7)/3</f>
        <v>313792.99820945784</v>
      </c>
      <c r="N41" s="28"/>
      <c r="O41" s="5"/>
      <c r="P41" s="5"/>
      <c r="S41" s="5"/>
      <c r="T41" s="5"/>
      <c r="U41" s="5"/>
      <c r="V41" s="15"/>
    </row>
    <row r="42" spans="1:22" ht="38.25">
      <c r="C42" s="14"/>
      <c r="D42" s="14"/>
      <c r="E42" s="14"/>
      <c r="F42" s="15"/>
      <c r="G42" s="15"/>
      <c r="J42" s="13"/>
      <c r="K42" s="13"/>
      <c r="L42" s="6" t="s">
        <v>102</v>
      </c>
      <c r="M42" s="32">
        <f>M41*2</f>
        <v>627585.99641891569</v>
      </c>
      <c r="N42" s="28"/>
      <c r="O42" s="5"/>
      <c r="P42" s="5"/>
      <c r="S42" s="5"/>
      <c r="T42" s="5"/>
      <c r="U42" s="15"/>
    </row>
    <row r="43" spans="1:22">
      <c r="B43" t="s">
        <v>79</v>
      </c>
      <c r="C43" s="14"/>
      <c r="D43" s="14"/>
      <c r="E43" s="14"/>
      <c r="F43" s="15"/>
      <c r="G43" s="15"/>
      <c r="J43" s="13"/>
      <c r="K43" s="13"/>
      <c r="L43" s="10"/>
      <c r="M43" s="10"/>
      <c r="N43" s="28"/>
      <c r="O43" s="5"/>
      <c r="P43" s="5"/>
      <c r="S43" s="5"/>
      <c r="T43" s="5"/>
      <c r="U43" s="15"/>
    </row>
    <row r="44" spans="1:22">
      <c r="C44" s="14">
        <v>1994</v>
      </c>
      <c r="D44" s="14">
        <f>C44+1</f>
        <v>1995</v>
      </c>
      <c r="E44" s="14">
        <f t="shared" ref="E44:H44" si="7">D44+1</f>
        <v>1996</v>
      </c>
      <c r="F44" s="14">
        <f t="shared" si="7"/>
        <v>1997</v>
      </c>
      <c r="G44" s="14">
        <f t="shared" si="7"/>
        <v>1998</v>
      </c>
      <c r="H44" s="14">
        <f t="shared" si="7"/>
        <v>1999</v>
      </c>
      <c r="I44" s="14"/>
      <c r="J44" s="13"/>
      <c r="K44" s="13"/>
      <c r="L44" s="10"/>
      <c r="M44" s="10"/>
      <c r="N44" s="28"/>
      <c r="O44" s="5"/>
      <c r="P44" s="5"/>
      <c r="S44" s="5"/>
      <c r="T44" s="5"/>
      <c r="U44" s="15"/>
    </row>
    <row r="45" spans="1:22">
      <c r="A45">
        <v>51</v>
      </c>
      <c r="B45" t="s">
        <v>80</v>
      </c>
      <c r="C45" s="14">
        <v>83983</v>
      </c>
      <c r="D45" s="14">
        <v>83961</v>
      </c>
      <c r="E45" s="14">
        <v>30383</v>
      </c>
      <c r="F45" s="15">
        <v>20</v>
      </c>
      <c r="G45" s="15"/>
      <c r="J45" s="13"/>
      <c r="K45" s="13"/>
      <c r="L45" s="10"/>
      <c r="M45" s="10"/>
      <c r="N45" s="28"/>
      <c r="O45" s="5"/>
      <c r="P45" s="5"/>
      <c r="S45" s="5"/>
      <c r="T45" s="5"/>
      <c r="U45" s="15"/>
    </row>
    <row r="46" spans="1:22">
      <c r="A46">
        <v>42</v>
      </c>
      <c r="B46" t="s">
        <v>81</v>
      </c>
      <c r="C46" s="14">
        <v>75346</v>
      </c>
      <c r="D46" s="14">
        <v>68477</v>
      </c>
      <c r="E46" s="14">
        <v>27088</v>
      </c>
      <c r="F46" s="15"/>
      <c r="G46" s="15">
        <v>20</v>
      </c>
      <c r="J46" s="13"/>
      <c r="K46" s="13"/>
      <c r="L46" s="10"/>
      <c r="M46" s="10"/>
      <c r="N46" s="28"/>
      <c r="O46" s="5"/>
      <c r="P46" s="5"/>
      <c r="S46" s="5"/>
      <c r="T46" s="5"/>
      <c r="U46" s="15"/>
    </row>
    <row r="47" spans="1:22">
      <c r="A47">
        <v>52</v>
      </c>
      <c r="B47" t="s">
        <v>82</v>
      </c>
      <c r="C47" s="14"/>
      <c r="D47" s="14">
        <v>46642</v>
      </c>
      <c r="E47" s="14"/>
      <c r="G47" s="15"/>
      <c r="J47" s="13"/>
      <c r="K47" s="13"/>
      <c r="L47" s="10"/>
      <c r="M47" s="10"/>
      <c r="N47" s="28"/>
      <c r="O47" s="5"/>
      <c r="P47" s="5"/>
      <c r="S47" s="5"/>
      <c r="T47" s="5"/>
      <c r="U47" s="15"/>
    </row>
    <row r="48" spans="1:22">
      <c r="A48">
        <v>41</v>
      </c>
      <c r="B48" t="s">
        <v>83</v>
      </c>
      <c r="C48" s="14">
        <v>26000</v>
      </c>
      <c r="D48" s="14"/>
      <c r="E48" s="14">
        <v>265</v>
      </c>
      <c r="F48" s="15">
        <v>132</v>
      </c>
      <c r="G48" s="15">
        <v>125</v>
      </c>
      <c r="H48" s="15">
        <v>210</v>
      </c>
      <c r="J48" s="13"/>
      <c r="K48" s="13"/>
      <c r="L48" s="10"/>
      <c r="M48" s="10"/>
      <c r="N48" s="28"/>
      <c r="O48" s="5"/>
      <c r="P48" s="5"/>
      <c r="S48" s="5"/>
      <c r="T48" s="5"/>
      <c r="U48" s="15"/>
    </row>
    <row r="49" spans="1:21">
      <c r="A49">
        <v>43</v>
      </c>
      <c r="B49" t="s">
        <v>84</v>
      </c>
      <c r="C49" s="14"/>
      <c r="D49" s="14">
        <v>9223</v>
      </c>
      <c r="E49" s="14"/>
      <c r="F49" s="15">
        <v>610</v>
      </c>
      <c r="G49" s="15">
        <v>85</v>
      </c>
      <c r="H49" s="15">
        <v>215</v>
      </c>
      <c r="J49" s="13"/>
      <c r="K49" s="13"/>
      <c r="L49" s="10"/>
      <c r="M49" s="10"/>
      <c r="N49" s="28"/>
      <c r="O49" s="5"/>
      <c r="P49" s="5"/>
      <c r="S49" s="5"/>
      <c r="T49" s="5"/>
      <c r="U49" s="15"/>
    </row>
    <row r="50" spans="1:21">
      <c r="A50">
        <v>99</v>
      </c>
      <c r="B50" t="s">
        <v>85</v>
      </c>
      <c r="C50" s="14">
        <v>8648</v>
      </c>
      <c r="D50" s="14">
        <v>19</v>
      </c>
      <c r="E50" s="14">
        <v>4</v>
      </c>
      <c r="F50" s="15"/>
      <c r="G50" s="15"/>
      <c r="J50" s="13"/>
      <c r="K50" s="13"/>
      <c r="L50" s="10"/>
      <c r="M50" s="10"/>
      <c r="N50" s="28"/>
      <c r="O50" s="5"/>
      <c r="P50" s="5"/>
      <c r="S50" s="5"/>
      <c r="T50" s="5"/>
      <c r="U50" s="15"/>
    </row>
    <row r="51" spans="1:21">
      <c r="A51" s="13">
        <v>53</v>
      </c>
      <c r="B51" t="s">
        <v>86</v>
      </c>
      <c r="C51" s="14"/>
      <c r="D51" s="14">
        <v>2431</v>
      </c>
      <c r="E51" s="14">
        <v>1374</v>
      </c>
      <c r="F51" s="15">
        <v>174</v>
      </c>
      <c r="G51" s="15">
        <v>483</v>
      </c>
      <c r="H51" s="15">
        <v>140</v>
      </c>
      <c r="J51" s="13"/>
      <c r="K51" s="13"/>
      <c r="L51" s="10"/>
      <c r="M51" s="10"/>
      <c r="N51" s="28"/>
      <c r="O51" s="5"/>
      <c r="P51" s="5"/>
      <c r="S51" s="5"/>
      <c r="T51" s="5"/>
      <c r="U51" s="15"/>
    </row>
    <row r="52" spans="1:21">
      <c r="A52" s="13">
        <v>32</v>
      </c>
      <c r="B52" t="s">
        <v>87</v>
      </c>
      <c r="C52" s="13">
        <v>2541</v>
      </c>
      <c r="D52" s="10">
        <v>85</v>
      </c>
      <c r="F52" s="15"/>
      <c r="G52" s="18"/>
      <c r="H52" s="18"/>
      <c r="J52" s="13"/>
      <c r="K52" s="13"/>
      <c r="L52" s="10"/>
      <c r="M52" s="10"/>
      <c r="N52" s="28"/>
      <c r="O52" s="5"/>
      <c r="P52" s="5"/>
      <c r="S52" s="5"/>
      <c r="T52" s="5"/>
    </row>
    <row r="53" spans="1:21">
      <c r="B53" s="13" t="s">
        <v>78</v>
      </c>
      <c r="C53" s="13"/>
      <c r="D53" s="10">
        <v>1428</v>
      </c>
      <c r="F53" s="15">
        <v>825</v>
      </c>
      <c r="G53" s="15">
        <v>465</v>
      </c>
      <c r="H53" s="15">
        <v>328</v>
      </c>
      <c r="J53" s="13"/>
      <c r="K53" s="13"/>
      <c r="L53" s="10"/>
      <c r="M53" s="10"/>
      <c r="N53" s="28"/>
      <c r="O53" s="5"/>
      <c r="P53" s="5"/>
      <c r="S53" s="5"/>
      <c r="T53" s="5"/>
    </row>
    <row r="54" spans="1:21">
      <c r="B54" s="13" t="s">
        <v>25</v>
      </c>
      <c r="C54" s="33">
        <f>SUM(C45:C53)</f>
        <v>196518</v>
      </c>
      <c r="D54" s="33">
        <f t="shared" ref="D54:H54" si="8">SUM(D45:D53)</f>
        <v>212266</v>
      </c>
      <c r="E54" s="33">
        <f t="shared" si="8"/>
        <v>59114</v>
      </c>
      <c r="F54" s="33">
        <f t="shared" si="8"/>
        <v>1761</v>
      </c>
      <c r="G54" s="33">
        <f t="shared" si="8"/>
        <v>1178</v>
      </c>
      <c r="H54" s="33">
        <f t="shared" si="8"/>
        <v>893</v>
      </c>
      <c r="I54" s="33"/>
    </row>
    <row r="55" spans="1:21">
      <c r="A55" s="13"/>
      <c r="B55" s="13"/>
      <c r="C55" s="13"/>
      <c r="F55" s="18"/>
      <c r="G55" s="18"/>
      <c r="H55" s="18"/>
    </row>
    <row r="56" spans="1:21">
      <c r="A56" s="13"/>
      <c r="B56" s="13"/>
      <c r="C56" s="13"/>
      <c r="F56" s="18"/>
      <c r="G56" s="18"/>
      <c r="H56" s="18"/>
    </row>
    <row r="57" spans="1:21">
      <c r="A57" s="13"/>
      <c r="B57" s="13"/>
      <c r="C57" s="13"/>
      <c r="D57" s="13"/>
      <c r="E57" s="13"/>
      <c r="F57" s="18"/>
      <c r="G57" s="18"/>
      <c r="H57" s="18"/>
    </row>
    <row r="58" spans="1:21">
      <c r="A58" s="13"/>
      <c r="B58" s="13"/>
      <c r="C58" s="20"/>
      <c r="E58" s="20"/>
      <c r="F58" s="18"/>
      <c r="G58" s="18"/>
      <c r="H58" s="20"/>
    </row>
    <row r="59" spans="1:21">
      <c r="A59" s="13"/>
      <c r="B59" s="13"/>
      <c r="C59" s="13"/>
      <c r="D59" s="20"/>
      <c r="F59" s="18"/>
      <c r="G59" s="18"/>
      <c r="H59" s="18"/>
    </row>
    <row r="60" spans="1:21">
      <c r="A60" s="13"/>
      <c r="B60" s="13"/>
      <c r="C60" s="13"/>
      <c r="D60" s="20"/>
      <c r="F60" s="18"/>
      <c r="G60" s="18"/>
      <c r="H60" s="18"/>
    </row>
    <row r="61" spans="1:21">
      <c r="A61" s="13"/>
      <c r="B61" s="13"/>
      <c r="C61" s="13"/>
      <c r="D61" s="20"/>
      <c r="F61" s="18"/>
      <c r="G61" s="18"/>
      <c r="H61" s="18"/>
    </row>
    <row r="62" spans="1:21">
      <c r="A62" s="13"/>
      <c r="B62" s="13"/>
      <c r="C62" s="13"/>
      <c r="F62" s="18"/>
      <c r="G62" s="18"/>
      <c r="H62" s="18"/>
    </row>
    <row r="63" spans="1:21">
      <c r="A63" s="13"/>
      <c r="B63" s="13"/>
      <c r="C63" s="13"/>
      <c r="F63" s="18"/>
      <c r="G63" s="18"/>
      <c r="H63" s="18"/>
    </row>
  </sheetData>
  <pageMargins left="0.75" right="0.75" top="1" bottom="1" header="0.5" footer="0.5"/>
  <pageSetup orientation="portrait" horizontalDpi="4294967292" verticalDpi="4294967292"/>
  <ignoredErrors>
    <ignoredError sqref="C54:H54" formulaRange="1"/>
  </ignoredError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7"/>
  <sheetViews>
    <sheetView workbookViewId="0">
      <selection activeCell="D4" sqref="D4"/>
    </sheetView>
  </sheetViews>
  <sheetFormatPr defaultColWidth="11.42578125" defaultRowHeight="12.75"/>
  <sheetData>
    <row r="1" spans="1:2">
      <c r="A1" s="1" t="s">
        <v>0</v>
      </c>
    </row>
    <row r="2" spans="1:2">
      <c r="A2" t="s">
        <v>1</v>
      </c>
    </row>
    <row r="4" spans="1:2">
      <c r="A4" t="s">
        <v>73</v>
      </c>
    </row>
    <row r="5" spans="1:2">
      <c r="A5" s="19"/>
      <c r="B5" t="s">
        <v>72</v>
      </c>
    </row>
    <row r="6" spans="1:2">
      <c r="A6" s="30"/>
      <c r="B6" t="s">
        <v>71</v>
      </c>
    </row>
    <row r="7" spans="1:2">
      <c r="A7" s="11"/>
      <c r="B7" t="s">
        <v>70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F10"/>
  <sheetViews>
    <sheetView workbookViewId="0">
      <selection activeCell="D4" sqref="D4"/>
    </sheetView>
  </sheetViews>
  <sheetFormatPr defaultColWidth="11.42578125" defaultRowHeight="12.75"/>
  <sheetData>
    <row r="1" spans="1:6">
      <c r="D1" t="s">
        <v>37</v>
      </c>
    </row>
    <row r="2" spans="1:6">
      <c r="D2">
        <f>26.14/17.07</f>
        <v>1.5313415348564734</v>
      </c>
    </row>
    <row r="3" spans="1:6">
      <c r="E3" t="s">
        <v>39</v>
      </c>
    </row>
    <row r="4" spans="1:6">
      <c r="A4" t="s">
        <v>32</v>
      </c>
    </row>
    <row r="5" spans="1:6">
      <c r="B5" t="s">
        <v>40</v>
      </c>
      <c r="D5" t="s">
        <v>41</v>
      </c>
      <c r="E5" s="2">
        <v>30</v>
      </c>
      <c r="F5" t="s">
        <v>42</v>
      </c>
    </row>
    <row r="6" spans="1:6">
      <c r="B6" t="s">
        <v>33</v>
      </c>
      <c r="C6" t="s">
        <v>38</v>
      </c>
      <c r="D6" t="s">
        <v>33</v>
      </c>
      <c r="E6" t="s">
        <v>38</v>
      </c>
    </row>
    <row r="7" spans="1:6">
      <c r="A7" t="s">
        <v>31</v>
      </c>
      <c r="B7" s="14">
        <v>44040</v>
      </c>
      <c r="C7" s="14">
        <f>$D$2*B7</f>
        <v>67440.281195079093</v>
      </c>
      <c r="D7" s="14">
        <f>($E$5/40)*B7</f>
        <v>33030</v>
      </c>
      <c r="E7" s="14">
        <f>$D$2*D7</f>
        <v>50580.21089630932</v>
      </c>
    </row>
    <row r="8" spans="1:6">
      <c r="A8" t="s">
        <v>34</v>
      </c>
      <c r="B8" s="14">
        <v>49180</v>
      </c>
      <c r="C8" s="14">
        <f>$D$2*B8</f>
        <v>75311.376684241361</v>
      </c>
      <c r="D8" s="14">
        <f t="shared" ref="D8:D10" si="0">($E$5/40)*B8</f>
        <v>36885</v>
      </c>
      <c r="E8" s="14">
        <f t="shared" ref="E8:E10" si="1">$D$2*D8</f>
        <v>56483.532513181024</v>
      </c>
    </row>
    <row r="9" spans="1:6">
      <c r="A9" t="s">
        <v>35</v>
      </c>
      <c r="B9" s="14">
        <v>57130</v>
      </c>
      <c r="C9" s="14">
        <f>$D$2*B9</f>
        <v>87485.541886350329</v>
      </c>
      <c r="D9" s="14">
        <f t="shared" si="0"/>
        <v>42847.5</v>
      </c>
      <c r="E9" s="14">
        <f t="shared" si="1"/>
        <v>65614.156414762751</v>
      </c>
    </row>
    <row r="10" spans="1:6">
      <c r="A10" t="s">
        <v>36</v>
      </c>
      <c r="B10" s="14">
        <v>30950</v>
      </c>
      <c r="C10" s="14">
        <f>$D$2*B10</f>
        <v>47395.020503807849</v>
      </c>
      <c r="D10" s="14">
        <f t="shared" si="0"/>
        <v>23212.5</v>
      </c>
      <c r="E10" s="14">
        <f t="shared" si="1"/>
        <v>35546.265377855889</v>
      </c>
    </row>
  </sheetData>
  <sortState ref="B10:C31">
    <sortCondition ref="C10"/>
  </sortState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8"/>
  <sheetViews>
    <sheetView workbookViewId="0">
      <selection activeCell="D4" sqref="D4"/>
    </sheetView>
  </sheetViews>
  <sheetFormatPr defaultColWidth="11.42578125" defaultRowHeight="12.75"/>
  <sheetData>
    <row r="3" spans="1:3">
      <c r="B3" t="s">
        <v>61</v>
      </c>
    </row>
    <row r="4" spans="1:3">
      <c r="A4">
        <v>2001</v>
      </c>
      <c r="B4">
        <v>140.71666666666667</v>
      </c>
      <c r="C4">
        <f>$B$17/B4</f>
        <v>1.4346638715464086</v>
      </c>
    </row>
    <row r="5" spans="1:3">
      <c r="A5">
        <v>2002</v>
      </c>
      <c r="B5">
        <v>138.85833333333332</v>
      </c>
      <c r="C5">
        <f t="shared" ref="C5:C18" si="0">$B$17/B5</f>
        <v>1.4538638981535534</v>
      </c>
    </row>
    <row r="6" spans="1:3">
      <c r="A6">
        <v>2003</v>
      </c>
      <c r="B6">
        <v>143.29999999999998</v>
      </c>
      <c r="C6">
        <f t="shared" si="0"/>
        <v>1.4088005428548884</v>
      </c>
    </row>
    <row r="7" spans="1:3">
      <c r="A7">
        <v>2004</v>
      </c>
      <c r="B7">
        <v>148.51666666666665</v>
      </c>
      <c r="C7">
        <f t="shared" si="0"/>
        <v>1.3593162459282158</v>
      </c>
    </row>
    <row r="8" spans="1:3">
      <c r="A8">
        <v>2005</v>
      </c>
      <c r="B8">
        <v>155.76666666666665</v>
      </c>
      <c r="C8">
        <f t="shared" si="0"/>
        <v>1.2960482631571077</v>
      </c>
    </row>
    <row r="9" spans="1:3">
      <c r="A9">
        <v>2006</v>
      </c>
      <c r="B9">
        <v>160.35</v>
      </c>
      <c r="C9">
        <f t="shared" si="0"/>
        <v>1.2590029173127877</v>
      </c>
    </row>
    <row r="10" spans="1:3">
      <c r="A10">
        <v>2007</v>
      </c>
      <c r="B10">
        <v>166.60833333333332</v>
      </c>
      <c r="C10">
        <f t="shared" si="0"/>
        <v>1.2117108055285679</v>
      </c>
    </row>
    <row r="11" spans="1:3">
      <c r="A11">
        <v>2008</v>
      </c>
      <c r="B11">
        <v>177.25833333333333</v>
      </c>
      <c r="C11">
        <f t="shared" si="0"/>
        <v>1.1389090374186761</v>
      </c>
    </row>
    <row r="12" spans="1:3">
      <c r="A12">
        <v>2009</v>
      </c>
      <c r="B12">
        <v>172.6</v>
      </c>
      <c r="C12">
        <f t="shared" si="0"/>
        <v>1.1696472641431372</v>
      </c>
    </row>
    <row r="13" spans="1:3">
      <c r="A13">
        <v>2010</v>
      </c>
      <c r="B13">
        <v>179.79166666666666</v>
      </c>
      <c r="C13">
        <f t="shared" si="0"/>
        <v>1.1228613735774118</v>
      </c>
    </row>
    <row r="14" spans="1:3">
      <c r="A14">
        <v>2011</v>
      </c>
      <c r="B14">
        <v>190.50833333333333</v>
      </c>
      <c r="C14">
        <f t="shared" si="0"/>
        <v>1.0596970445270399</v>
      </c>
    </row>
    <row r="15" spans="1:3">
      <c r="A15">
        <v>2012</v>
      </c>
      <c r="B15">
        <v>194.20833333333329</v>
      </c>
      <c r="C15">
        <f t="shared" si="0"/>
        <v>1.0395080083644137</v>
      </c>
    </row>
    <row r="16" spans="1:3">
      <c r="A16">
        <v>2013</v>
      </c>
      <c r="B16">
        <v>196.625</v>
      </c>
      <c r="C16">
        <f t="shared" si="0"/>
        <v>1.0267316861594684</v>
      </c>
    </row>
    <row r="17" spans="1:3">
      <c r="A17">
        <v>2014</v>
      </c>
      <c r="B17">
        <v>201.88111779110548</v>
      </c>
      <c r="C17">
        <f t="shared" si="0"/>
        <v>1</v>
      </c>
    </row>
    <row r="18" spans="1:3">
      <c r="A18">
        <v>2015</v>
      </c>
      <c r="B18">
        <v>207.88143468972885</v>
      </c>
      <c r="C18">
        <f t="shared" si="0"/>
        <v>0.97113586931137419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Controls</vt:lpstr>
      <vt:lpstr>Form Options</vt:lpstr>
      <vt:lpstr>Tables</vt:lpstr>
      <vt:lpstr>Info</vt:lpstr>
      <vt:lpstr>OES</vt:lpstr>
      <vt:lpstr>PPI</vt:lpstr>
    </vt:vector>
  </TitlesOfParts>
  <Company>ECONorthwest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Carsten Jensen</dc:creator>
  <cp:lastModifiedBy>jjb</cp:lastModifiedBy>
  <dcterms:created xsi:type="dcterms:W3CDTF">2014-07-21T16:46:57Z</dcterms:created>
  <dcterms:modified xsi:type="dcterms:W3CDTF">2016-05-17T22:54:22Z</dcterms:modified>
</cp:coreProperties>
</file>